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C34AA169-34DB-402B-90D4-2B61FF81856A}" xr6:coauthVersionLast="47" xr6:coauthVersionMax="47" xr10:uidLastSave="{00000000-0000-0000-0000-000000000000}"/>
  <bookViews>
    <workbookView xWindow="-28920" yWindow="840" windowWidth="29040" windowHeight="15840" xr2:uid="{00000000-000D-0000-FFFF-FFFF00000000}"/>
  </bookViews>
  <sheets>
    <sheet name="GVCA|0001-00" sheetId="12" r:id="rId1"/>
    <sheet name="GVCA|0349-00" sheetId="13" r:id="rId2"/>
    <sheet name="GVCA|0475-05" sheetId="14" r:id="rId3"/>
    <sheet name="GVCA|0344-30" sheetId="15" r:id="rId4"/>
    <sheet name="Data" sheetId="5" r:id="rId5"/>
    <sheet name="Benefits" sheetId="7" r:id="rId6"/>
    <sheet name="B6" sheetId="9" r:id="rId7"/>
    <sheet name="Summary" sheetId="10" r:id="rId8"/>
    <sheet name="FundSummary" sheetId="11" r:id="rId9"/>
  </sheets>
  <definedNames>
    <definedName name="AdjGroupHlth" localSheetId="0">'GVCA|0001-00'!$H$39</definedName>
    <definedName name="AdjGroupHlth" localSheetId="3">'GVCA|0344-30'!$H$39</definedName>
    <definedName name="AdjGroupHlth" localSheetId="1">'GVCA|0349-00'!$H$39</definedName>
    <definedName name="AdjGroupHlth" localSheetId="2">'GVCA|0475-05'!$H$39</definedName>
    <definedName name="AdjGroupHlth">'B6'!$H$39</definedName>
    <definedName name="AdjGroupSalary" localSheetId="0">'GVCA|0001-00'!$G$39</definedName>
    <definedName name="AdjGroupSalary" localSheetId="3">'GVCA|0344-30'!$G$39</definedName>
    <definedName name="AdjGroupSalary" localSheetId="1">'GVCA|0349-00'!$G$39</definedName>
    <definedName name="AdjGroupSalary" localSheetId="2">'GVCA|0475-05'!$G$39</definedName>
    <definedName name="AdjGroupSalary">'B6'!$G$39</definedName>
    <definedName name="AdjGroupVB" localSheetId="0">'GVCA|0001-00'!$I$39</definedName>
    <definedName name="AdjGroupVB" localSheetId="3">'GVCA|0344-30'!$I$39</definedName>
    <definedName name="AdjGroupVB" localSheetId="1">'GVCA|0349-00'!$I$39</definedName>
    <definedName name="AdjGroupVB" localSheetId="2">'GVCA|0475-05'!$I$39</definedName>
    <definedName name="AdjGroupVB">'B6'!$I$39</definedName>
    <definedName name="AdjGroupVBBY" localSheetId="0">'GVCA|0001-00'!$M$39</definedName>
    <definedName name="AdjGroupVBBY" localSheetId="3">'GVCA|0344-30'!$M$39</definedName>
    <definedName name="AdjGroupVBBY" localSheetId="1">'GVCA|0349-00'!$M$39</definedName>
    <definedName name="AdjGroupVBBY" localSheetId="2">'GVCA|0475-05'!$M$39</definedName>
    <definedName name="AdjGroupVBBY">'B6'!$M$39</definedName>
    <definedName name="AdjPermHlth" localSheetId="0">'GVCA|0001-00'!$H$38</definedName>
    <definedName name="AdjPermHlth" localSheetId="3">'GVCA|0344-30'!$H$38</definedName>
    <definedName name="AdjPermHlth" localSheetId="1">'GVCA|0349-00'!$H$38</definedName>
    <definedName name="AdjPermHlth" localSheetId="2">'GVCA|0475-05'!$H$38</definedName>
    <definedName name="AdjPermHlth">'B6'!$H$38</definedName>
    <definedName name="AdjPermHlthBY" localSheetId="0">'GVCA|0001-00'!$L$38</definedName>
    <definedName name="AdjPermHlthBY" localSheetId="3">'GVCA|0344-30'!$L$38</definedName>
    <definedName name="AdjPermHlthBY" localSheetId="1">'GVCA|0349-00'!$L$38</definedName>
    <definedName name="AdjPermHlthBY" localSheetId="2">'GVCA|0475-05'!$L$38</definedName>
    <definedName name="AdjPermHlthBY">'B6'!$L$38</definedName>
    <definedName name="AdjPermSalary" localSheetId="0">'GVCA|0001-00'!$G$38</definedName>
    <definedName name="AdjPermSalary" localSheetId="3">'GVCA|0344-30'!$G$38</definedName>
    <definedName name="AdjPermSalary" localSheetId="1">'GVCA|0349-00'!$G$38</definedName>
    <definedName name="AdjPermSalary" localSheetId="2">'GVCA|0475-05'!$G$38</definedName>
    <definedName name="AdjPermSalary">'B6'!$G$38</definedName>
    <definedName name="AdjPermVB" localSheetId="0">'GVCA|0001-00'!$I$38</definedName>
    <definedName name="AdjPermVB" localSheetId="3">'GVCA|0344-30'!$I$38</definedName>
    <definedName name="AdjPermVB" localSheetId="1">'GVCA|0349-00'!$I$38</definedName>
    <definedName name="AdjPermVB" localSheetId="2">'GVCA|0475-05'!$I$38</definedName>
    <definedName name="AdjPermVB">'B6'!$I$38</definedName>
    <definedName name="AdjPermVBBY" localSheetId="0">'GVCA|0001-00'!$M$38</definedName>
    <definedName name="AdjPermVBBY" localSheetId="3">'GVCA|0344-30'!$M$38</definedName>
    <definedName name="AdjPermVBBY" localSheetId="1">'GVCA|0349-00'!$M$38</definedName>
    <definedName name="AdjPermVBBY" localSheetId="2">'GVCA|0475-05'!$M$38</definedName>
    <definedName name="AdjPermVBBY">'B6'!$M$38</definedName>
    <definedName name="AdjustedTotal" localSheetId="0">'GVCA|0001-00'!$J$16</definedName>
    <definedName name="AdjustedTotal" localSheetId="3">'GVCA|0344-30'!$J$16</definedName>
    <definedName name="AdjustedTotal" localSheetId="1">'GVCA|0349-00'!$J$16</definedName>
    <definedName name="AdjustedTotal" localSheetId="2">'GVCA|0475-05'!$J$16</definedName>
    <definedName name="AdjustedTotal">'B6'!$J$16</definedName>
    <definedName name="AgencyNum" localSheetId="0">'GVCA|0001-00'!$M$1</definedName>
    <definedName name="AgencyNum" localSheetId="3">'GVCA|0344-30'!$M$1</definedName>
    <definedName name="AgencyNum" localSheetId="1">'GVCA|0349-00'!$M$1</definedName>
    <definedName name="AgencyNum" localSheetId="2">'GVCA|0475-05'!$M$1</definedName>
    <definedName name="AgencyNum">'B6'!$M$1</definedName>
    <definedName name="AppropFTP" localSheetId="0">'GVCA|0001-00'!$F$15</definedName>
    <definedName name="AppropFTP" localSheetId="3">'GVCA|0344-30'!$F$15</definedName>
    <definedName name="AppropFTP" localSheetId="1">'GVCA|0349-00'!$F$15</definedName>
    <definedName name="AppropFTP" localSheetId="2">'GVCA|0475-05'!$F$15</definedName>
    <definedName name="AppropFTP">'B6'!$F$15</definedName>
    <definedName name="AppropTotal" localSheetId="0">'GVCA|0001-00'!$J$15</definedName>
    <definedName name="AppropTotal" localSheetId="3">'GVCA|0344-30'!$J$15</definedName>
    <definedName name="AppropTotal" localSheetId="1">'GVCA|0349-00'!$J$15</definedName>
    <definedName name="AppropTotal" localSheetId="2">'GVCA|0475-05'!$J$15</definedName>
    <definedName name="AppropTotal">'B6'!$J$15</definedName>
    <definedName name="AtZHealth" localSheetId="0">'GVCA|0001-00'!$H$45</definedName>
    <definedName name="AtZHealth" localSheetId="3">'GVCA|0344-30'!$H$45</definedName>
    <definedName name="AtZHealth" localSheetId="1">'GVCA|0349-00'!$H$45</definedName>
    <definedName name="AtZHealth" localSheetId="2">'GVCA|0475-05'!$H$45</definedName>
    <definedName name="AtZHealth">'B6'!$H$45</definedName>
    <definedName name="AtZSalary" localSheetId="0">'GVCA|0001-00'!$G$45</definedName>
    <definedName name="AtZSalary" localSheetId="3">'GVCA|0344-30'!$G$45</definedName>
    <definedName name="AtZSalary" localSheetId="1">'GVCA|0349-00'!$G$45</definedName>
    <definedName name="AtZSalary" localSheetId="2">'GVCA|0475-05'!$G$45</definedName>
    <definedName name="AtZSalary">'B6'!$G$45</definedName>
    <definedName name="AtZTotal" localSheetId="0">'GVCA|0001-00'!$J$45</definedName>
    <definedName name="AtZTotal" localSheetId="3">'GVCA|0344-30'!$J$45</definedName>
    <definedName name="AtZTotal" localSheetId="1">'GVCA|0349-00'!$J$45</definedName>
    <definedName name="AtZTotal" localSheetId="2">'GVCA|0475-05'!$J$45</definedName>
    <definedName name="AtZTotal">'B6'!$J$45</definedName>
    <definedName name="AtZVarBen" localSheetId="0">'GVCA|0001-00'!$I$45</definedName>
    <definedName name="AtZVarBen" localSheetId="3">'GVCA|0344-30'!$I$45</definedName>
    <definedName name="AtZVarBen" localSheetId="1">'GVCA|0349-00'!$I$45</definedName>
    <definedName name="AtZVarBen" localSheetId="2">'GVCA|0475-05'!$I$45</definedName>
    <definedName name="AtZVarBen">'B6'!$I$45</definedName>
    <definedName name="BudgetUnit" localSheetId="0">'GVCA|0001-00'!$M$3</definedName>
    <definedName name="BudgetUnit" localSheetId="3">'GVCA|0344-30'!$M$3</definedName>
    <definedName name="BudgetUnit" localSheetId="1">'GVCA|0349-00'!$M$3</definedName>
    <definedName name="BudgetUnit" localSheetId="2">'GVCA|0475-05'!$M$3</definedName>
    <definedName name="BudgetUnit">'B6'!$M$3</definedName>
    <definedName name="BudgetYear">Benefits!$D$4</definedName>
    <definedName name="CECGroup">Benefits!$C$39</definedName>
    <definedName name="CECOrigElectSalary" localSheetId="0">'GVCA|0001-00'!$G$74</definedName>
    <definedName name="CECOrigElectSalary" localSheetId="3">'GVCA|0344-30'!$G$74</definedName>
    <definedName name="CECOrigElectSalary" localSheetId="1">'GVCA|0349-00'!$G$74</definedName>
    <definedName name="CECOrigElectSalary" localSheetId="2">'GVCA|0475-05'!$G$74</definedName>
    <definedName name="CECOrigElectSalary">'B6'!$G$74</definedName>
    <definedName name="CECOrigElectVB" localSheetId="0">'GVCA|0001-00'!$I$74</definedName>
    <definedName name="CECOrigElectVB" localSheetId="3">'GVCA|0344-30'!$I$74</definedName>
    <definedName name="CECOrigElectVB" localSheetId="1">'GVCA|0349-00'!$I$74</definedName>
    <definedName name="CECOrigElectVB" localSheetId="2">'GVCA|0475-05'!$I$74</definedName>
    <definedName name="CECOrigElectVB">'B6'!$I$74</definedName>
    <definedName name="CECOrigGroupSalary" localSheetId="0">'GVCA|0001-00'!$G$73</definedName>
    <definedName name="CECOrigGroupSalary" localSheetId="3">'GVCA|0344-30'!$G$73</definedName>
    <definedName name="CECOrigGroupSalary" localSheetId="1">'GVCA|0349-00'!$G$73</definedName>
    <definedName name="CECOrigGroupSalary" localSheetId="2">'GVCA|0475-05'!$G$73</definedName>
    <definedName name="CECOrigGroupSalary">'B6'!$G$73</definedName>
    <definedName name="CECOrigGroupVB" localSheetId="0">'GVCA|0001-00'!$I$73</definedName>
    <definedName name="CECOrigGroupVB" localSheetId="3">'GVCA|0344-30'!$I$73</definedName>
    <definedName name="CECOrigGroupVB" localSheetId="1">'GVCA|0349-00'!$I$73</definedName>
    <definedName name="CECOrigGroupVB" localSheetId="2">'GVCA|0475-05'!$I$73</definedName>
    <definedName name="CECOrigGroupVB">'B6'!$I$73</definedName>
    <definedName name="CECOrigPermSalary" localSheetId="0">'GVCA|0001-00'!$G$72</definedName>
    <definedName name="CECOrigPermSalary" localSheetId="3">'GVCA|0344-30'!$G$72</definedName>
    <definedName name="CECOrigPermSalary" localSheetId="1">'GVCA|0349-00'!$G$72</definedName>
    <definedName name="CECOrigPermSalary" localSheetId="2">'GVCA|0475-05'!$G$72</definedName>
    <definedName name="CECOrigPermSalary">'B6'!$G$72</definedName>
    <definedName name="CECOrigPermVB" localSheetId="0">'GVCA|0001-00'!$I$72</definedName>
    <definedName name="CECOrigPermVB" localSheetId="3">'GVCA|0344-30'!$I$72</definedName>
    <definedName name="CECOrigPermVB" localSheetId="1">'GVCA|0349-00'!$I$72</definedName>
    <definedName name="CECOrigPermVB" localSheetId="2">'GVCA|0475-05'!$I$72</definedName>
    <definedName name="CECOrigPermVB">'B6'!$I$72</definedName>
    <definedName name="CECPerm">Benefits!$C$38</definedName>
    <definedName name="CECpermCalc" localSheetId="0">'GVCA|0001-00'!$E$72</definedName>
    <definedName name="CECpermCalc" localSheetId="3">'GVCA|0344-30'!$E$72</definedName>
    <definedName name="CECpermCalc" localSheetId="1">'GVCA|0349-00'!$E$72</definedName>
    <definedName name="CECpermCalc" localSheetId="2">'GVCA|0475-05'!$E$72</definedName>
    <definedName name="CECpermCalc">'B6'!$E$72</definedName>
    <definedName name="Department" localSheetId="0">'GVCA|0001-00'!$D$1</definedName>
    <definedName name="Department" localSheetId="3">'GVCA|0344-30'!$D$1</definedName>
    <definedName name="Department" localSheetId="1">'GVCA|0349-00'!$D$1</definedName>
    <definedName name="Department" localSheetId="2">'GVCA|0475-05'!$D$1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'GVCA|0001-00'!$D$2</definedName>
    <definedName name="Division" localSheetId="3">'GVCA|0344-30'!$D$2</definedName>
    <definedName name="Division" localSheetId="1">'GVCA|0349-00'!$D$2</definedName>
    <definedName name="Division" localSheetId="2">'GVCA|0475-05'!$D$2</definedName>
    <definedName name="Division">'B6'!$D$2</definedName>
    <definedName name="DUCECElect" localSheetId="0">'GVCA|0001-00'!$J$74</definedName>
    <definedName name="DUCECElect" localSheetId="3">'GVCA|0344-30'!$J$74</definedName>
    <definedName name="DUCECElect" localSheetId="1">'GVCA|0349-00'!$J$74</definedName>
    <definedName name="DUCECElect" localSheetId="2">'GVCA|0475-05'!$J$74</definedName>
    <definedName name="DUCECElect">'B6'!$J$74</definedName>
    <definedName name="DUCECGroup" localSheetId="0">'GVCA|0001-00'!$J$73</definedName>
    <definedName name="DUCECGroup" localSheetId="3">'GVCA|0344-30'!$J$73</definedName>
    <definedName name="DUCECGroup" localSheetId="1">'GVCA|0349-00'!$J$73</definedName>
    <definedName name="DUCECGroup" localSheetId="2">'GVCA|0475-05'!$J$73</definedName>
    <definedName name="DUCECGroup">'B6'!$J$73</definedName>
    <definedName name="DUCECPerm" localSheetId="0">'GVCA|0001-00'!$J$72</definedName>
    <definedName name="DUCECPerm" localSheetId="3">'GVCA|0344-30'!$J$72</definedName>
    <definedName name="DUCECPerm" localSheetId="1">'GVCA|0349-00'!$J$72</definedName>
    <definedName name="DUCECPerm" localSheetId="2">'GVCA|0475-05'!$J$72</definedName>
    <definedName name="DUCECPerm">'B6'!$J$72</definedName>
    <definedName name="DUEleven" localSheetId="0">'GVCA|0001-00'!$J$75</definedName>
    <definedName name="DUEleven" localSheetId="3">'GVCA|0344-30'!$J$75</definedName>
    <definedName name="DUEleven" localSheetId="1">'GVCA|0349-00'!$J$75</definedName>
    <definedName name="DUEleven" localSheetId="2">'GVCA|0475-05'!$J$75</definedName>
    <definedName name="DUEleven">'B6'!$J$75</definedName>
    <definedName name="DUHealthBen" localSheetId="0">'GVCA|0001-00'!$J$68</definedName>
    <definedName name="DUHealthBen" localSheetId="3">'GVCA|0344-30'!$J$68</definedName>
    <definedName name="DUHealthBen" localSheetId="1">'GVCA|0349-00'!$J$68</definedName>
    <definedName name="DUHealthBen" localSheetId="2">'GVCA|0475-05'!$J$68</definedName>
    <definedName name="DUHealthBen">'B6'!$J$68</definedName>
    <definedName name="DUNine" localSheetId="0">'GVCA|0001-00'!$J$67</definedName>
    <definedName name="DUNine" localSheetId="3">'GVCA|0344-30'!$J$67</definedName>
    <definedName name="DUNine" localSheetId="1">'GVCA|0349-00'!$J$67</definedName>
    <definedName name="DUNine" localSheetId="2">'GVCA|0475-05'!$J$67</definedName>
    <definedName name="DUNine">'B6'!$J$67</definedName>
    <definedName name="DUThirteen" localSheetId="0">'GVCA|0001-00'!$J$80</definedName>
    <definedName name="DUThirteen" localSheetId="3">'GVCA|0344-30'!$J$80</definedName>
    <definedName name="DUThirteen" localSheetId="1">'GVCA|0349-00'!$J$80</definedName>
    <definedName name="DUThirteen" localSheetId="2">'GVCA|0475-05'!$J$80</definedName>
    <definedName name="DUThirteen">'B6'!$J$80</definedName>
    <definedName name="DUVariableBen" localSheetId="0">'GVCA|0001-00'!$J$69</definedName>
    <definedName name="DUVariableBen" localSheetId="3">'GVCA|0344-30'!$J$69</definedName>
    <definedName name="DUVariableBen" localSheetId="1">'GVCA|0349-00'!$J$69</definedName>
    <definedName name="DUVariableBen" localSheetId="2">'GVCA|0475-05'!$J$69</definedName>
    <definedName name="DUVariableBen">'B6'!$J$69</definedName>
    <definedName name="Elect_chg_health" localSheetId="0">'GVCA|0001-00'!$L$12</definedName>
    <definedName name="Elect_chg_health" localSheetId="3">'GVCA|0344-30'!$L$12</definedName>
    <definedName name="Elect_chg_health" localSheetId="1">'GVCA|0349-00'!$L$12</definedName>
    <definedName name="Elect_chg_health" localSheetId="2">'GVCA|0475-05'!$L$12</definedName>
    <definedName name="Elect_chg_health">'B6'!$L$12</definedName>
    <definedName name="Elect_chg_Var" localSheetId="0">'GVCA|0001-00'!$M$12</definedName>
    <definedName name="Elect_chg_Var" localSheetId="3">'GVCA|0344-30'!$M$12</definedName>
    <definedName name="Elect_chg_Var" localSheetId="1">'GVCA|0349-00'!$M$12</definedName>
    <definedName name="Elect_chg_Var" localSheetId="2">'GVCA|0475-05'!$M$12</definedName>
    <definedName name="Elect_chg_Var">'B6'!$M$12</definedName>
    <definedName name="elect_FTP" localSheetId="0">'GVCA|0001-00'!$F$12</definedName>
    <definedName name="elect_FTP" localSheetId="3">'GVCA|0344-30'!$F$12</definedName>
    <definedName name="elect_FTP" localSheetId="1">'GVCA|0349-00'!$F$12</definedName>
    <definedName name="elect_FTP" localSheetId="2">'GVCA|0475-05'!$F$12</definedName>
    <definedName name="elect_FTP">'B6'!$F$12</definedName>
    <definedName name="Elect_health" localSheetId="0">'GVCA|0001-00'!$H$12</definedName>
    <definedName name="Elect_health" localSheetId="3">'GVCA|0344-30'!$H$12</definedName>
    <definedName name="Elect_health" localSheetId="1">'GVCA|0349-00'!$H$12</definedName>
    <definedName name="Elect_health" localSheetId="2">'GVCA|0475-05'!$H$12</definedName>
    <definedName name="Elect_health">'B6'!$H$12</definedName>
    <definedName name="Elect_name" localSheetId="0">'GVCA|0001-00'!$C$12</definedName>
    <definedName name="Elect_name" localSheetId="3">'GVCA|0344-30'!$C$12</definedName>
    <definedName name="Elect_name" localSheetId="1">'GVCA|0349-00'!$C$12</definedName>
    <definedName name="Elect_name" localSheetId="2">'GVCA|0475-05'!$C$12</definedName>
    <definedName name="Elect_name">'B6'!$C$12</definedName>
    <definedName name="Elect_salary" localSheetId="0">'GVCA|0001-00'!$G$12</definedName>
    <definedName name="Elect_salary" localSheetId="3">'GVCA|0344-30'!$G$12</definedName>
    <definedName name="Elect_salary" localSheetId="1">'GVCA|0349-00'!$G$12</definedName>
    <definedName name="Elect_salary" localSheetId="2">'GVCA|0475-05'!$G$12</definedName>
    <definedName name="Elect_salary">'B6'!$G$12</definedName>
    <definedName name="Elect_Var" localSheetId="0">'GVCA|0001-00'!$I$12</definedName>
    <definedName name="Elect_Var" localSheetId="3">'GVCA|0344-30'!$I$12</definedName>
    <definedName name="Elect_Var" localSheetId="1">'GVCA|0349-00'!$I$12</definedName>
    <definedName name="Elect_Var" localSheetId="2">'GVCA|0475-05'!$I$12</definedName>
    <definedName name="Elect_Var">'B6'!$I$12</definedName>
    <definedName name="Elect_VarBen" localSheetId="0">'GVCA|0001-00'!$I$12</definedName>
    <definedName name="Elect_VarBen" localSheetId="3">'GVCA|0344-30'!$I$12</definedName>
    <definedName name="Elect_VarBen" localSheetId="1">'GVCA|0349-00'!$I$12</definedName>
    <definedName name="Elect_VarBen" localSheetId="2">'GVCA|0475-05'!$I$12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'GVCA|0001-00'!#REF!</definedName>
    <definedName name="FillRateAvg_B6" localSheetId="3">'GVCA|0344-30'!#REF!</definedName>
    <definedName name="FillRateAvg_B6" localSheetId="1">'GVCA|0349-00'!#REF!</definedName>
    <definedName name="FillRateAvg_B6" localSheetId="2">'GVCA|0475-05'!#REF!</definedName>
    <definedName name="FillRateAvg_B6">'B6'!#REF!</definedName>
    <definedName name="FiscalYear" localSheetId="0">'GVCA|0001-00'!$M$4</definedName>
    <definedName name="FiscalYear" localSheetId="3">'GVCA|0344-30'!$M$4</definedName>
    <definedName name="FiscalYear" localSheetId="1">'GVCA|0349-00'!$M$4</definedName>
    <definedName name="FiscalYear" localSheetId="2">'GVCA|0475-05'!$M$4</definedName>
    <definedName name="FiscalYear">'B6'!$M$4</definedName>
    <definedName name="FundName" localSheetId="0">'GVCA|0001-00'!$I$5</definedName>
    <definedName name="FundName" localSheetId="3">'GVCA|0344-30'!$I$5</definedName>
    <definedName name="FundName" localSheetId="1">'GVCA|0349-00'!$I$5</definedName>
    <definedName name="FundName" localSheetId="2">'GVCA|0475-05'!$I$5</definedName>
    <definedName name="FundName">'B6'!$I$5</definedName>
    <definedName name="FundNum" localSheetId="0">'GVCA|0001-00'!$N$5</definedName>
    <definedName name="FundNum" localSheetId="3">'GVCA|0344-30'!$N$5</definedName>
    <definedName name="FundNum" localSheetId="1">'GVCA|0349-00'!$N$5</definedName>
    <definedName name="FundNum" localSheetId="2">'GVCA|0475-05'!$N$5</definedName>
    <definedName name="FundNum">'B6'!$N$5</definedName>
    <definedName name="FundNumber" localSheetId="0">'GVCA|0001-00'!$N$5</definedName>
    <definedName name="FundNumber" localSheetId="3">'GVCA|0344-30'!$N$5</definedName>
    <definedName name="FundNumber" localSheetId="1">'GVCA|0349-00'!$N$5</definedName>
    <definedName name="FundNumber" localSheetId="2">'GVCA|0475-05'!$N$5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'GVCA|0001-00'!$C$11</definedName>
    <definedName name="Group_name" localSheetId="3">'GVCA|0344-30'!$C$11</definedName>
    <definedName name="Group_name" localSheetId="1">'GVCA|0349-00'!$C$11</definedName>
    <definedName name="Group_name" localSheetId="2">'GVCA|0475-05'!$C$11</definedName>
    <definedName name="Group_name">'B6'!$C$11</definedName>
    <definedName name="GroupFxdBen" localSheetId="0">'GVCA|0001-00'!$H$11</definedName>
    <definedName name="GroupFxdBen" localSheetId="3">'GVCA|0344-30'!$H$11</definedName>
    <definedName name="GroupFxdBen" localSheetId="1">'GVCA|0349-00'!$H$11</definedName>
    <definedName name="GroupFxdBen" localSheetId="2">'GVCA|0475-05'!$H$11</definedName>
    <definedName name="GroupFxdBen">'B6'!$H$11</definedName>
    <definedName name="GroupSalary" localSheetId="0">'GVCA|0001-00'!$G$11</definedName>
    <definedName name="GroupSalary" localSheetId="3">'GVCA|0344-30'!$G$11</definedName>
    <definedName name="GroupSalary" localSheetId="1">'GVCA|0349-00'!$G$11</definedName>
    <definedName name="GroupSalary" localSheetId="2">'GVCA|0475-05'!$G$11</definedName>
    <definedName name="GroupSalary">'B6'!$G$11</definedName>
    <definedName name="GroupVarBen" localSheetId="0">'GVCA|0001-00'!$I$11</definedName>
    <definedName name="GroupVarBen" localSheetId="3">'GVCA|0344-30'!$I$11</definedName>
    <definedName name="GroupVarBen" localSheetId="1">'GVCA|0349-00'!$I$11</definedName>
    <definedName name="GroupVarBen" localSheetId="2">'GVCA|0475-05'!$I$11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CA000100col_1_27TH_PP">Data!$BA$27</definedName>
    <definedName name="GVCA000100col_DHR">Data!$BI$27</definedName>
    <definedName name="GVCA000100col_DHR_BY">Data!$BU$27</definedName>
    <definedName name="GVCA000100col_DHR_CHG">Data!$CG$27</definedName>
    <definedName name="GVCA000100col_FTI_SALARY_ELECT">Data!$AZ$27</definedName>
    <definedName name="GVCA000100col_FTI_SALARY_PERM">Data!$AY$27</definedName>
    <definedName name="GVCA000100col_FTI_SALARY_SSDI">Data!$AX$27</definedName>
    <definedName name="GVCA000100col_Group_Ben">Data!$CM$27</definedName>
    <definedName name="GVCA000100col_Group_Salary">Data!$CL$27</definedName>
    <definedName name="GVCA000100col_HEALTH_ELECT">Data!$BC$27</definedName>
    <definedName name="GVCA000100col_HEALTH_ELECT_BY">Data!$BO$27</definedName>
    <definedName name="GVCA000100col_HEALTH_ELECT_CHG">Data!$CA$27</definedName>
    <definedName name="GVCA000100col_HEALTH_PERM">Data!$BB$27</definedName>
    <definedName name="GVCA000100col_HEALTH_PERM_BY">Data!$BN$27</definedName>
    <definedName name="GVCA000100col_HEALTH_PERM_CHG">Data!$BZ$27</definedName>
    <definedName name="GVCA000100col_INC_FTI">Data!$AS$27</definedName>
    <definedName name="GVCA000100col_LIFE_INS">Data!$BG$27</definedName>
    <definedName name="GVCA000100col_LIFE_INS_BY">Data!$BS$27</definedName>
    <definedName name="GVCA000100col_LIFE_INS_CHG">Data!$CE$27</definedName>
    <definedName name="GVCA000100col_RETIREMENT">Data!$BF$27</definedName>
    <definedName name="GVCA000100col_RETIREMENT_BY">Data!$BR$27</definedName>
    <definedName name="GVCA000100col_RETIREMENT_CHG">Data!$CD$27</definedName>
    <definedName name="GVCA000100col_ROWS_PER_PCN">Data!$AW$27</definedName>
    <definedName name="GVCA000100col_SICK">Data!$BK$27</definedName>
    <definedName name="GVCA000100col_SICK_BY">Data!$BW$27</definedName>
    <definedName name="GVCA000100col_SICK_CHG">Data!$CI$27</definedName>
    <definedName name="GVCA000100col_SSDI">Data!$BD$27</definedName>
    <definedName name="GVCA000100col_SSDI_BY">Data!$BP$27</definedName>
    <definedName name="GVCA000100col_SSDI_CHG">Data!$CB$27</definedName>
    <definedName name="GVCA000100col_SSHI">Data!$BE$27</definedName>
    <definedName name="GVCA000100col_SSHI_BY">Data!$BQ$27</definedName>
    <definedName name="GVCA000100col_SSHI_CHGv">Data!$CC$27</definedName>
    <definedName name="GVCA000100col_TOT_VB_ELECT">Data!$BM$27</definedName>
    <definedName name="GVCA000100col_TOT_VB_ELECT_BY">Data!$BY$27</definedName>
    <definedName name="GVCA000100col_TOT_VB_ELECT_CHG">Data!$CK$27</definedName>
    <definedName name="GVCA000100col_TOT_VB_PERM">Data!$BL$27</definedName>
    <definedName name="GVCA000100col_TOT_VB_PERM_BY">Data!$BX$27</definedName>
    <definedName name="GVCA000100col_TOT_VB_PERM_CHG">Data!$CJ$27</definedName>
    <definedName name="GVCA000100col_TOTAL_ELECT_PCN_FTI">Data!$AT$27</definedName>
    <definedName name="GVCA000100col_TOTAL_ELECT_PCN_FTI_ALT">Data!$AV$27</definedName>
    <definedName name="GVCA000100col_TOTAL_PERM_PCN_FTI">Data!$AU$27</definedName>
    <definedName name="GVCA000100col_UNEMP_INS">Data!$BH$27</definedName>
    <definedName name="GVCA000100col_UNEMP_INS_BY">Data!$BT$27</definedName>
    <definedName name="GVCA000100col_UNEMP_INS_CHG">Data!$CF$27</definedName>
    <definedName name="GVCA000100col_WORKERS_COMP">Data!$BJ$27</definedName>
    <definedName name="GVCA000100col_WORKERS_COMP_BY">Data!$BV$27</definedName>
    <definedName name="GVCA000100col_WORKERS_COMP_CHG">Data!$CH$27</definedName>
    <definedName name="GVCA034900col_1_27TH_PP">Data!$BA$29</definedName>
    <definedName name="GVCA034900col_DHR">Data!$BI$29</definedName>
    <definedName name="GVCA034900col_DHR_BY">Data!$BU$29</definedName>
    <definedName name="GVCA034900col_DHR_CHG">Data!$CG$29</definedName>
    <definedName name="GVCA034900col_FTI_SALARY_ELECT">Data!$AZ$29</definedName>
    <definedName name="GVCA034900col_FTI_SALARY_PERM">Data!$AY$29</definedName>
    <definedName name="GVCA034900col_FTI_SALARY_SSDI">Data!$AX$29</definedName>
    <definedName name="GVCA034900col_Group_Ben">Data!$CM$29</definedName>
    <definedName name="GVCA034900col_Group_Salary">Data!$CL$29</definedName>
    <definedName name="GVCA034900col_HEALTH_ELECT">Data!$BC$29</definedName>
    <definedName name="GVCA034900col_HEALTH_ELECT_BY">Data!$BO$29</definedName>
    <definedName name="GVCA034900col_HEALTH_ELECT_CHG">Data!$CA$29</definedName>
    <definedName name="GVCA034900col_HEALTH_PERM">Data!$BB$29</definedName>
    <definedName name="GVCA034900col_HEALTH_PERM_BY">Data!$BN$29</definedName>
    <definedName name="GVCA034900col_HEALTH_PERM_CHG">Data!$BZ$29</definedName>
    <definedName name="GVCA034900col_INC_FTI">Data!$AS$29</definedName>
    <definedName name="GVCA034900col_LIFE_INS">Data!$BG$29</definedName>
    <definedName name="GVCA034900col_LIFE_INS_BY">Data!$BS$29</definedName>
    <definedName name="GVCA034900col_LIFE_INS_CHG">Data!$CE$29</definedName>
    <definedName name="GVCA034900col_RETIREMENT">Data!$BF$29</definedName>
    <definedName name="GVCA034900col_RETIREMENT_BY">Data!$BR$29</definedName>
    <definedName name="GVCA034900col_RETIREMENT_CHG">Data!$CD$29</definedName>
    <definedName name="GVCA034900col_ROWS_PER_PCN">Data!$AW$29</definedName>
    <definedName name="GVCA034900col_SICK">Data!$BK$29</definedName>
    <definedName name="GVCA034900col_SICK_BY">Data!$BW$29</definedName>
    <definedName name="GVCA034900col_SICK_CHG">Data!$CI$29</definedName>
    <definedName name="GVCA034900col_SSDI">Data!$BD$29</definedName>
    <definedName name="GVCA034900col_SSDI_BY">Data!$BP$29</definedName>
    <definedName name="GVCA034900col_SSDI_CHG">Data!$CB$29</definedName>
    <definedName name="GVCA034900col_SSHI">Data!$BE$29</definedName>
    <definedName name="GVCA034900col_SSHI_BY">Data!$BQ$29</definedName>
    <definedName name="GVCA034900col_SSHI_CHGv">Data!$CC$29</definedName>
    <definedName name="GVCA034900col_TOT_VB_ELECT">Data!$BM$29</definedName>
    <definedName name="GVCA034900col_TOT_VB_ELECT_BY">Data!$BY$29</definedName>
    <definedName name="GVCA034900col_TOT_VB_ELECT_CHG">Data!$CK$29</definedName>
    <definedName name="GVCA034900col_TOT_VB_PERM">Data!$BL$29</definedName>
    <definedName name="GVCA034900col_TOT_VB_PERM_BY">Data!$BX$29</definedName>
    <definedName name="GVCA034900col_TOT_VB_PERM_CHG">Data!$CJ$29</definedName>
    <definedName name="GVCA034900col_TOTAL_ELECT_PCN_FTI">Data!$AT$29</definedName>
    <definedName name="GVCA034900col_TOTAL_ELECT_PCN_FTI_ALT">Data!$AV$29</definedName>
    <definedName name="GVCA034900col_TOTAL_PERM_PCN_FTI">Data!$AU$29</definedName>
    <definedName name="GVCA034900col_UNEMP_INS">Data!$BH$29</definedName>
    <definedName name="GVCA034900col_UNEMP_INS_BY">Data!$BT$29</definedName>
    <definedName name="GVCA034900col_UNEMP_INS_CHG">Data!$CF$29</definedName>
    <definedName name="GVCA034900col_WORKERS_COMP">Data!$BJ$29</definedName>
    <definedName name="GVCA034900col_WORKERS_COMP_BY">Data!$BV$29</definedName>
    <definedName name="GVCA034900col_WORKERS_COMP_CHG">Data!$CH$29</definedName>
    <definedName name="GVCA047505col_1_27TH_PP">Data!$BA$31</definedName>
    <definedName name="GVCA047505col_DHR">Data!$BI$31</definedName>
    <definedName name="GVCA047505col_DHR_BY">Data!$BU$31</definedName>
    <definedName name="GVCA047505col_DHR_CHG">Data!$CG$31</definedName>
    <definedName name="GVCA047505col_FTI_SALARY_ELECT">Data!$AZ$31</definedName>
    <definedName name="GVCA047505col_FTI_SALARY_PERM">Data!$AY$31</definedName>
    <definedName name="GVCA047505col_FTI_SALARY_SSDI">Data!$AX$31</definedName>
    <definedName name="GVCA047505col_Group_Ben">Data!$CM$31</definedName>
    <definedName name="GVCA047505col_Group_Salary">Data!$CL$31</definedName>
    <definedName name="GVCA047505col_HEALTH_ELECT">Data!$BC$31</definedName>
    <definedName name="GVCA047505col_HEALTH_ELECT_BY">Data!$BO$31</definedName>
    <definedName name="GVCA047505col_HEALTH_ELECT_CHG">Data!$CA$31</definedName>
    <definedName name="GVCA047505col_HEALTH_PERM">Data!$BB$31</definedName>
    <definedName name="GVCA047505col_HEALTH_PERM_BY">Data!$BN$31</definedName>
    <definedName name="GVCA047505col_HEALTH_PERM_CHG">Data!$BZ$31</definedName>
    <definedName name="GVCA047505col_INC_FTI">Data!$AS$31</definedName>
    <definedName name="GVCA047505col_LIFE_INS">Data!$BG$31</definedName>
    <definedName name="GVCA047505col_LIFE_INS_BY">Data!$BS$31</definedName>
    <definedName name="GVCA047505col_LIFE_INS_CHG">Data!$CE$31</definedName>
    <definedName name="GVCA047505col_RETIREMENT">Data!$BF$31</definedName>
    <definedName name="GVCA047505col_RETIREMENT_BY">Data!$BR$31</definedName>
    <definedName name="GVCA047505col_RETIREMENT_CHG">Data!$CD$31</definedName>
    <definedName name="GVCA047505col_ROWS_PER_PCN">Data!$AW$31</definedName>
    <definedName name="GVCA047505col_SICK">Data!$BK$31</definedName>
    <definedName name="GVCA047505col_SICK_BY">Data!$BW$31</definedName>
    <definedName name="GVCA047505col_SICK_CHG">Data!$CI$31</definedName>
    <definedName name="GVCA047505col_SSDI">Data!$BD$31</definedName>
    <definedName name="GVCA047505col_SSDI_BY">Data!$BP$31</definedName>
    <definedName name="GVCA047505col_SSDI_CHG">Data!$CB$31</definedName>
    <definedName name="GVCA047505col_SSHI">Data!$BE$31</definedName>
    <definedName name="GVCA047505col_SSHI_BY">Data!$BQ$31</definedName>
    <definedName name="GVCA047505col_SSHI_CHGv">Data!$CC$31</definedName>
    <definedName name="GVCA047505col_TOT_VB_ELECT">Data!$BM$31</definedName>
    <definedName name="GVCA047505col_TOT_VB_ELECT_BY">Data!$BY$31</definedName>
    <definedName name="GVCA047505col_TOT_VB_ELECT_CHG">Data!$CK$31</definedName>
    <definedName name="GVCA047505col_TOT_VB_PERM">Data!$BL$31</definedName>
    <definedName name="GVCA047505col_TOT_VB_PERM_BY">Data!$BX$31</definedName>
    <definedName name="GVCA047505col_TOT_VB_PERM_CHG">Data!$CJ$31</definedName>
    <definedName name="GVCA047505col_TOTAL_ELECT_PCN_FTI">Data!$AT$31</definedName>
    <definedName name="GVCA047505col_TOTAL_ELECT_PCN_FTI_ALT">Data!$AV$31</definedName>
    <definedName name="GVCA047505col_TOTAL_PERM_PCN_FTI">Data!$AU$31</definedName>
    <definedName name="GVCA047505col_UNEMP_INS">Data!$BH$31</definedName>
    <definedName name="GVCA047505col_UNEMP_INS_BY">Data!$BT$31</definedName>
    <definedName name="GVCA047505col_UNEMP_INS_CHG">Data!$CF$31</definedName>
    <definedName name="GVCA047505col_WORKERS_COMP">Data!$BJ$31</definedName>
    <definedName name="GVCA047505col_WORKERS_COMP_BY">Data!$BV$31</definedName>
    <definedName name="GVCA047505col_WORKERS_COMP_CHG">Data!$CH$31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'GVCA|0001-00'!$M$2</definedName>
    <definedName name="LUMAFund" localSheetId="3">'GVCA|0344-30'!$M$2</definedName>
    <definedName name="LUMAFund" localSheetId="1">'GVCA|0349-00'!$M$2</definedName>
    <definedName name="LUMAFund" localSheetId="2">'GVCA|0475-05'!$M$2</definedName>
    <definedName name="LUMAFund">'B6'!$M$2</definedName>
    <definedName name="MAXSSDI">Benefits!$F$5</definedName>
    <definedName name="MAXSSDIBY">Benefits!$G$5</definedName>
    <definedName name="NEW_AdjGroup" localSheetId="0">'GVCA|0001-00'!$AC$39</definedName>
    <definedName name="NEW_AdjGroup" localSheetId="3">'GVCA|0344-30'!$AC$39</definedName>
    <definedName name="NEW_AdjGroup" localSheetId="1">'GVCA|0349-00'!$AC$39</definedName>
    <definedName name="NEW_AdjGroup" localSheetId="2">'GVCA|0475-05'!$AC$39</definedName>
    <definedName name="NEW_AdjGroup">'B6'!$AC$39</definedName>
    <definedName name="NEW_AdjGroupSalary" localSheetId="0">'GVCA|0001-00'!$AA$39</definedName>
    <definedName name="NEW_AdjGroupSalary" localSheetId="3">'GVCA|0344-30'!$AA$39</definedName>
    <definedName name="NEW_AdjGroupSalary" localSheetId="1">'GVCA|0349-00'!$AA$39</definedName>
    <definedName name="NEW_AdjGroupSalary" localSheetId="2">'GVCA|0475-05'!$AA$39</definedName>
    <definedName name="NEW_AdjGroupSalary">'B6'!$AA$39</definedName>
    <definedName name="NEW_AdjGroupVB" localSheetId="0">'GVCA|0001-00'!$AB$39</definedName>
    <definedName name="NEW_AdjGroupVB" localSheetId="3">'GVCA|0344-30'!$AB$39</definedName>
    <definedName name="NEW_AdjGroupVB" localSheetId="1">'GVCA|0349-00'!$AB$39</definedName>
    <definedName name="NEW_AdjGroupVB" localSheetId="2">'GVCA|0475-05'!$AB$39</definedName>
    <definedName name="NEW_AdjGroupVB">'B6'!$AB$39</definedName>
    <definedName name="NEW_AdjONLYGroup" localSheetId="0">'GVCA|0001-00'!$AC$45</definedName>
    <definedName name="NEW_AdjONLYGroup" localSheetId="3">'GVCA|0344-30'!$AC$45</definedName>
    <definedName name="NEW_AdjONLYGroup" localSheetId="1">'GVCA|0349-00'!$AC$45</definedName>
    <definedName name="NEW_AdjONLYGroup" localSheetId="2">'GVCA|0475-05'!$AC$45</definedName>
    <definedName name="NEW_AdjONLYGroup">'B6'!$AC$45</definedName>
    <definedName name="NEW_AdjONLYGroupSalary" localSheetId="0">'GVCA|0001-00'!$AA$45</definedName>
    <definedName name="NEW_AdjONLYGroupSalary" localSheetId="3">'GVCA|0344-30'!$AA$45</definedName>
    <definedName name="NEW_AdjONLYGroupSalary" localSheetId="1">'GVCA|0349-00'!$AA$45</definedName>
    <definedName name="NEW_AdjONLYGroupSalary" localSheetId="2">'GVCA|0475-05'!$AA$45</definedName>
    <definedName name="NEW_AdjONLYGroupSalary">'B6'!$AA$45</definedName>
    <definedName name="NEW_AdjONLYGroupVB" localSheetId="0">'GVCA|0001-00'!$AB$45</definedName>
    <definedName name="NEW_AdjONLYGroupVB" localSheetId="3">'GVCA|0344-30'!$AB$45</definedName>
    <definedName name="NEW_AdjONLYGroupVB" localSheetId="1">'GVCA|0349-00'!$AB$45</definedName>
    <definedName name="NEW_AdjONLYGroupVB" localSheetId="2">'GVCA|0475-05'!$AB$45</definedName>
    <definedName name="NEW_AdjONLYGroupVB">'B6'!$AB$45</definedName>
    <definedName name="NEW_AdjONLYPerm" localSheetId="0">'GVCA|0001-00'!$AC$44</definedName>
    <definedName name="NEW_AdjONLYPerm" localSheetId="3">'GVCA|0344-30'!$AC$44</definedName>
    <definedName name="NEW_AdjONLYPerm" localSheetId="1">'GVCA|0349-00'!$AC$44</definedName>
    <definedName name="NEW_AdjONLYPerm" localSheetId="2">'GVCA|0475-05'!$AC$44</definedName>
    <definedName name="NEW_AdjONLYPerm">'B6'!$AC$44</definedName>
    <definedName name="NEW_AdjONLYPermSalary" localSheetId="0">'GVCA|0001-00'!$AA$44</definedName>
    <definedName name="NEW_AdjONLYPermSalary" localSheetId="3">'GVCA|0344-30'!$AA$44</definedName>
    <definedName name="NEW_AdjONLYPermSalary" localSheetId="1">'GVCA|0349-00'!$AA$44</definedName>
    <definedName name="NEW_AdjONLYPermSalary" localSheetId="2">'GVCA|0475-05'!$AA$44</definedName>
    <definedName name="NEW_AdjONLYPermSalary">'B6'!$AA$44</definedName>
    <definedName name="NEW_AdjONLYPermVB" localSheetId="0">'GVCA|0001-00'!$AB$44</definedName>
    <definedName name="NEW_AdjONLYPermVB" localSheetId="3">'GVCA|0344-30'!$AB$44</definedName>
    <definedName name="NEW_AdjONLYPermVB" localSheetId="1">'GVCA|0349-00'!$AB$44</definedName>
    <definedName name="NEW_AdjONLYPermVB" localSheetId="2">'GVCA|0475-05'!$AB$44</definedName>
    <definedName name="NEW_AdjONLYPermVB">'B6'!$AB$44</definedName>
    <definedName name="NEW_AdjPerm" localSheetId="0">'GVCA|0001-00'!$AC$38</definedName>
    <definedName name="NEW_AdjPerm" localSheetId="3">'GVCA|0344-30'!$AC$38</definedName>
    <definedName name="NEW_AdjPerm" localSheetId="1">'GVCA|0349-00'!$AC$38</definedName>
    <definedName name="NEW_AdjPerm" localSheetId="2">'GVCA|0475-05'!$AC$38</definedName>
    <definedName name="NEW_AdjPerm">'B6'!$AC$38</definedName>
    <definedName name="NEW_AdjPermSalary" localSheetId="0">'GVCA|0001-00'!$AA$38</definedName>
    <definedName name="NEW_AdjPermSalary" localSheetId="3">'GVCA|0344-30'!$AA$38</definedName>
    <definedName name="NEW_AdjPermSalary" localSheetId="1">'GVCA|0349-00'!$AA$38</definedName>
    <definedName name="NEW_AdjPermSalary" localSheetId="2">'GVCA|0475-05'!$AA$38</definedName>
    <definedName name="NEW_AdjPermSalary">'B6'!$AA$38</definedName>
    <definedName name="NEW_AdjPermVB" localSheetId="0">'GVCA|0001-00'!$AB$38</definedName>
    <definedName name="NEW_AdjPermVB" localSheetId="3">'GVCA|0344-30'!$AB$38</definedName>
    <definedName name="NEW_AdjPermVB" localSheetId="1">'GVCA|0349-00'!$AB$38</definedName>
    <definedName name="NEW_AdjPermVB" localSheetId="2">'GVCA|0475-05'!$AB$38</definedName>
    <definedName name="NEW_AdjPermVB">'B6'!$AB$38</definedName>
    <definedName name="NEW_GroupFilled" localSheetId="0">'GVCA|0001-00'!$AC$11</definedName>
    <definedName name="NEW_GroupFilled" localSheetId="3">'GVCA|0344-30'!$AC$11</definedName>
    <definedName name="NEW_GroupFilled" localSheetId="1">'GVCA|0349-00'!$AC$11</definedName>
    <definedName name="NEW_GroupFilled" localSheetId="2">'GVCA|0475-05'!$AC$11</definedName>
    <definedName name="NEW_GroupFilled">'B6'!$AC$11</definedName>
    <definedName name="NEW_GroupSalaryFilled" localSheetId="0">'GVCA|0001-00'!$AA$11</definedName>
    <definedName name="NEW_GroupSalaryFilled" localSheetId="3">'GVCA|0344-30'!$AA$11</definedName>
    <definedName name="NEW_GroupSalaryFilled" localSheetId="1">'GVCA|0349-00'!$AA$11</definedName>
    <definedName name="NEW_GroupSalaryFilled" localSheetId="2">'GVCA|0475-05'!$AA$11</definedName>
    <definedName name="NEW_GroupSalaryFilled">'B6'!$AA$11</definedName>
    <definedName name="NEW_GroupVBFilled" localSheetId="0">'GVCA|0001-00'!$AB$11</definedName>
    <definedName name="NEW_GroupVBFilled" localSheetId="3">'GVCA|0344-30'!$AB$11</definedName>
    <definedName name="NEW_GroupVBFilled" localSheetId="1">'GVCA|0349-00'!$AB$11</definedName>
    <definedName name="NEW_GroupVBFilled" localSheetId="2">'GVCA|0475-05'!$AB$11</definedName>
    <definedName name="NEW_GroupVBFilled">'B6'!$AB$11</definedName>
    <definedName name="NEW_PermFilled" localSheetId="0">'GVCA|0001-00'!$AC$10</definedName>
    <definedName name="NEW_PermFilled" localSheetId="3">'GVCA|0344-30'!$AC$10</definedName>
    <definedName name="NEW_PermFilled" localSheetId="1">'GVCA|0349-00'!$AC$10</definedName>
    <definedName name="NEW_PermFilled" localSheetId="2">'GVCA|0475-05'!$AC$10</definedName>
    <definedName name="NEW_PermFilled">'B6'!$AC$10</definedName>
    <definedName name="NEW_PermSalaryFilled" localSheetId="0">'GVCA|0001-00'!$AA$10</definedName>
    <definedName name="NEW_PermSalaryFilled" localSheetId="3">'GVCA|0344-30'!$AA$10</definedName>
    <definedName name="NEW_PermSalaryFilled" localSheetId="1">'GVCA|0349-00'!$AA$10</definedName>
    <definedName name="NEW_PermSalaryFilled" localSheetId="2">'GVCA|0475-05'!$AA$10</definedName>
    <definedName name="NEW_PermSalaryFilled">'B6'!$AA$10</definedName>
    <definedName name="NEW_PermVBFilled" localSheetId="0">'GVCA|0001-00'!$AB$10</definedName>
    <definedName name="NEW_PermVBFilled" localSheetId="3">'GVCA|0344-30'!$AB$10</definedName>
    <definedName name="NEW_PermVBFilled" localSheetId="1">'GVCA|0349-00'!$AB$10</definedName>
    <definedName name="NEW_PermVBFilled" localSheetId="2">'GVCA|0475-05'!$AB$10</definedName>
    <definedName name="NEW_PermVBFilled">'B6'!$AB$10</definedName>
    <definedName name="OneTimePC_Total" localSheetId="0">'GVCA|0001-00'!$J$63</definedName>
    <definedName name="OneTimePC_Total" localSheetId="3">'GVCA|0344-30'!$J$63</definedName>
    <definedName name="OneTimePC_Total" localSheetId="1">'GVCA|0349-00'!$J$63</definedName>
    <definedName name="OneTimePC_Total" localSheetId="2">'GVCA|0475-05'!$J$63</definedName>
    <definedName name="OneTimePC_Total">'B6'!$J$63</definedName>
    <definedName name="OrigApprop" localSheetId="0">'GVCA|0001-00'!$E$15</definedName>
    <definedName name="OrigApprop" localSheetId="3">'GVCA|0344-30'!$E$15</definedName>
    <definedName name="OrigApprop" localSheetId="1">'GVCA|0349-00'!$E$15</definedName>
    <definedName name="OrigApprop" localSheetId="2">'GVCA|0475-05'!$E$15</definedName>
    <definedName name="OrigApprop">'B6'!$E$15</definedName>
    <definedName name="perm_name" localSheetId="0">'GVCA|0001-00'!$C$10</definedName>
    <definedName name="perm_name" localSheetId="3">'GVCA|0344-30'!$C$10</definedName>
    <definedName name="perm_name" localSheetId="1">'GVCA|0349-00'!$C$10</definedName>
    <definedName name="perm_name" localSheetId="2">'GVCA|0475-05'!$C$10</definedName>
    <definedName name="perm_name">'B6'!$C$10</definedName>
    <definedName name="PermFTP" localSheetId="0">'GVCA|0001-00'!$F$10</definedName>
    <definedName name="PermFTP" localSheetId="3">'GVCA|0344-30'!$F$10</definedName>
    <definedName name="PermFTP" localSheetId="1">'GVCA|0349-00'!$F$10</definedName>
    <definedName name="PermFTP" localSheetId="2">'GVCA|0475-05'!$F$10</definedName>
    <definedName name="PermFTP">'B6'!$F$10</definedName>
    <definedName name="PermFxdBen" localSheetId="0">'GVCA|0001-00'!$H$10</definedName>
    <definedName name="PermFxdBen" localSheetId="3">'GVCA|0344-30'!$H$10</definedName>
    <definedName name="PermFxdBen" localSheetId="1">'GVCA|0349-00'!$H$10</definedName>
    <definedName name="PermFxdBen" localSheetId="2">'GVCA|0475-05'!$H$10</definedName>
    <definedName name="PermFxdBen">'B6'!$H$10</definedName>
    <definedName name="PermFxdBenChg" localSheetId="0">'GVCA|0001-00'!$L$10</definedName>
    <definedName name="PermFxdBenChg" localSheetId="3">'GVCA|0344-30'!$L$10</definedName>
    <definedName name="PermFxdBenChg" localSheetId="1">'GVCA|0349-00'!$L$10</definedName>
    <definedName name="PermFxdBenChg" localSheetId="2">'GVCA|0475-05'!$L$10</definedName>
    <definedName name="PermFxdBenChg">'B6'!$L$10</definedName>
    <definedName name="PermFxdChg" localSheetId="0">'GVCA|0001-00'!$L$10</definedName>
    <definedName name="PermFxdChg" localSheetId="3">'GVCA|0344-30'!$L$10</definedName>
    <definedName name="PermFxdChg" localSheetId="1">'GVCA|0349-00'!$L$10</definedName>
    <definedName name="PermFxdChg" localSheetId="2">'GVCA|0475-05'!$L$10</definedName>
    <definedName name="PermFxdChg">'B6'!$L$10</definedName>
    <definedName name="PermSalary" localSheetId="0">'GVCA|0001-00'!$G$10</definedName>
    <definedName name="PermSalary" localSheetId="3">'GVCA|0344-30'!$G$10</definedName>
    <definedName name="PermSalary" localSheetId="1">'GVCA|0349-00'!$G$10</definedName>
    <definedName name="PermSalary" localSheetId="2">'GVCA|0475-05'!$G$10</definedName>
    <definedName name="PermSalary">'B6'!$G$10</definedName>
    <definedName name="PermVarBen" localSheetId="0">'GVCA|0001-00'!$I$10</definedName>
    <definedName name="PermVarBen" localSheetId="3">'GVCA|0344-30'!$I$10</definedName>
    <definedName name="PermVarBen" localSheetId="1">'GVCA|0349-00'!$I$10</definedName>
    <definedName name="PermVarBen" localSheetId="2">'GVCA|0475-05'!$I$10</definedName>
    <definedName name="PermVarBen">'B6'!$I$10</definedName>
    <definedName name="PermVarBenChg" localSheetId="0">'GVCA|0001-00'!$M$10</definedName>
    <definedName name="PermVarBenChg" localSheetId="3">'GVCA|0344-30'!$M$10</definedName>
    <definedName name="PermVarBenChg" localSheetId="1">'GVCA|0349-00'!$M$10</definedName>
    <definedName name="PermVarBenChg" localSheetId="2">'GVCA|0475-05'!$M$10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6">'B6'!$A$1:$N$81</definedName>
    <definedName name="_xlnm.Print_Area" localSheetId="5">Benefits!$A$1:$G$36</definedName>
    <definedName name="_xlnm.Print_Area" localSheetId="0">'GVCA|0001-00'!$A$1:$N$81</definedName>
    <definedName name="_xlnm.Print_Area" localSheetId="3">'GVCA|0344-30'!$A$1:$N$81</definedName>
    <definedName name="_xlnm.Print_Area" localSheetId="1">'GVCA|0349-00'!$A$1:$N$81</definedName>
    <definedName name="_xlnm.Print_Area" localSheetId="2">'GVCA|0475-05'!$A$1:$N$81</definedName>
    <definedName name="Prog_Unadjusted_Total" localSheetId="0">'GVCA|0001-00'!$C$8:$N$16</definedName>
    <definedName name="Prog_Unadjusted_Total" localSheetId="3">'GVCA|0344-30'!$C$8:$N$16</definedName>
    <definedName name="Prog_Unadjusted_Total" localSheetId="1">'GVCA|0349-00'!$C$8:$N$16</definedName>
    <definedName name="Prog_Unadjusted_Total" localSheetId="2">'GVCA|0475-05'!$C$8:$N$16</definedName>
    <definedName name="Prog_Unadjusted_Total">'B6'!$C$8:$N$16</definedName>
    <definedName name="Program" localSheetId="0">'GVCA|0001-00'!$D$3</definedName>
    <definedName name="Program" localSheetId="3">'GVCA|0344-30'!$D$3</definedName>
    <definedName name="Program" localSheetId="1">'GVCA|0349-00'!$D$3</definedName>
    <definedName name="Program" localSheetId="2">'GVCA|0475-05'!$D$3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'GVCA|0001-00'!$G$52</definedName>
    <definedName name="RoundedAppropSalary" localSheetId="3">'GVCA|0344-30'!$G$52</definedName>
    <definedName name="RoundedAppropSalary" localSheetId="1">'GVCA|0349-00'!$G$52</definedName>
    <definedName name="RoundedAppropSalary" localSheetId="2">'GVCA|0475-05'!$G$52</definedName>
    <definedName name="RoundedAppropSalary">'B6'!$G$52</definedName>
    <definedName name="SalaryChg" localSheetId="0">'GVCA|0001-00'!$K$10</definedName>
    <definedName name="SalaryChg" localSheetId="3">'GVCA|0344-30'!$K$10</definedName>
    <definedName name="SalaryChg" localSheetId="1">'GVCA|0349-00'!$K$10</definedName>
    <definedName name="SalaryChg" localSheetId="2">'GVCA|0475-05'!$K$10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'GVCA|0001-00'!#REF!</definedName>
    <definedName name="SubCECBase" localSheetId="3">'GVCA|0344-30'!#REF!</definedName>
    <definedName name="SubCECBase" localSheetId="1">'GVCA|0349-00'!#REF!</definedName>
    <definedName name="SubCECBase" localSheetId="2">'GVCA|0475-05'!#REF!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5" l="1"/>
  <c r="C80" i="15" l="1"/>
  <c r="J79" i="15"/>
  <c r="J78" i="15"/>
  <c r="J77" i="15"/>
  <c r="C75" i="15"/>
  <c r="I74" i="15"/>
  <c r="J74" i="15" s="1"/>
  <c r="E73" i="15"/>
  <c r="E72" i="15"/>
  <c r="J71" i="15"/>
  <c r="I71" i="15"/>
  <c r="J70" i="15"/>
  <c r="C67" i="15"/>
  <c r="J66" i="15"/>
  <c r="I66" i="15"/>
  <c r="H66" i="15"/>
  <c r="G66" i="15"/>
  <c r="N64" i="15"/>
  <c r="J64" i="15"/>
  <c r="N63" i="15"/>
  <c r="H63" i="15"/>
  <c r="G63" i="15" s="1"/>
  <c r="I63" i="15" s="1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N35" i="15"/>
  <c r="M35" i="15"/>
  <c r="L35" i="15"/>
  <c r="J35" i="15"/>
  <c r="I35" i="15"/>
  <c r="H35" i="15"/>
  <c r="M34" i="15"/>
  <c r="L34" i="15"/>
  <c r="N34" i="15" s="1"/>
  <c r="J34" i="15"/>
  <c r="I34" i="15"/>
  <c r="H34" i="15"/>
  <c r="N33" i="15"/>
  <c r="M33" i="15"/>
  <c r="L33" i="15"/>
  <c r="J33" i="15"/>
  <c r="I33" i="15"/>
  <c r="H33" i="15"/>
  <c r="M32" i="15"/>
  <c r="L32" i="15"/>
  <c r="N32" i="15" s="1"/>
  <c r="J32" i="15"/>
  <c r="I32" i="15"/>
  <c r="H32" i="15"/>
  <c r="N30" i="15"/>
  <c r="M30" i="15"/>
  <c r="L30" i="15"/>
  <c r="J30" i="15"/>
  <c r="I30" i="15"/>
  <c r="H30" i="15"/>
  <c r="M29" i="15"/>
  <c r="L29" i="15"/>
  <c r="N29" i="15" s="1"/>
  <c r="J29" i="15"/>
  <c r="I29" i="15"/>
  <c r="H29" i="15"/>
  <c r="N28" i="15"/>
  <c r="M28" i="15"/>
  <c r="L28" i="15"/>
  <c r="J28" i="15"/>
  <c r="I28" i="15"/>
  <c r="H28" i="15"/>
  <c r="M27" i="15"/>
  <c r="L27" i="15"/>
  <c r="N27" i="15" s="1"/>
  <c r="J27" i="15"/>
  <c r="I27" i="15"/>
  <c r="H27" i="15"/>
  <c r="N26" i="15"/>
  <c r="M26" i="15"/>
  <c r="L26" i="15"/>
  <c r="J26" i="15"/>
  <c r="I26" i="15"/>
  <c r="H26" i="15"/>
  <c r="M25" i="15"/>
  <c r="L25" i="15"/>
  <c r="N25" i="15" s="1"/>
  <c r="J25" i="15"/>
  <c r="I25" i="15"/>
  <c r="H25" i="15"/>
  <c r="N24" i="15"/>
  <c r="M24" i="15"/>
  <c r="L24" i="15"/>
  <c r="J24" i="15"/>
  <c r="I24" i="15"/>
  <c r="H24" i="15"/>
  <c r="M23" i="15"/>
  <c r="L23" i="15"/>
  <c r="N23" i="15" s="1"/>
  <c r="J23" i="15"/>
  <c r="I23" i="15"/>
  <c r="H23" i="15"/>
  <c r="N22" i="15"/>
  <c r="M22" i="15"/>
  <c r="L22" i="15"/>
  <c r="J22" i="15"/>
  <c r="I22" i="15"/>
  <c r="H22" i="15"/>
  <c r="M21" i="15"/>
  <c r="L21" i="15"/>
  <c r="N21" i="15" s="1"/>
  <c r="J21" i="15"/>
  <c r="I21" i="15"/>
  <c r="H21" i="15"/>
  <c r="N20" i="15"/>
  <c r="M20" i="15"/>
  <c r="L20" i="15"/>
  <c r="J20" i="15"/>
  <c r="I20" i="15"/>
  <c r="H20" i="15"/>
  <c r="C15" i="15"/>
  <c r="G40" i="15"/>
  <c r="F40" i="15"/>
  <c r="AC11" i="15"/>
  <c r="AB11" i="15"/>
  <c r="J11" i="15"/>
  <c r="I39" i="15"/>
  <c r="AB39" i="15" s="1"/>
  <c r="AB45" i="15" s="1"/>
  <c r="AA11" i="15"/>
  <c r="K10" i="15"/>
  <c r="G38" i="15"/>
  <c r="F38" i="15"/>
  <c r="F41" i="15" s="1"/>
  <c r="M8" i="15"/>
  <c r="L8" i="15"/>
  <c r="K8" i="15"/>
  <c r="J8" i="15"/>
  <c r="I8" i="15"/>
  <c r="H8" i="15"/>
  <c r="G8" i="15"/>
  <c r="E8" i="11"/>
  <c r="F8" i="11"/>
  <c r="G8" i="11"/>
  <c r="H8" i="11"/>
  <c r="K8" i="11"/>
  <c r="E9" i="11"/>
  <c r="F9" i="11"/>
  <c r="G9" i="11"/>
  <c r="H9" i="11"/>
  <c r="K9" i="11"/>
  <c r="E10" i="11"/>
  <c r="F10" i="11"/>
  <c r="G10" i="11"/>
  <c r="H10" i="11"/>
  <c r="K10" i="11"/>
  <c r="E11" i="11"/>
  <c r="F11" i="11"/>
  <c r="G11" i="11"/>
  <c r="H11" i="11"/>
  <c r="K11" i="11"/>
  <c r="E12" i="11"/>
  <c r="F12" i="11"/>
  <c r="G12" i="11"/>
  <c r="H12" i="11"/>
  <c r="K12" i="11"/>
  <c r="E13" i="11"/>
  <c r="F13" i="11"/>
  <c r="G13" i="11"/>
  <c r="H13" i="11"/>
  <c r="K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K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K23" i="11"/>
  <c r="AY54" i="5"/>
  <c r="AV54" i="5"/>
  <c r="AU54" i="5"/>
  <c r="AT54" i="5"/>
  <c r="AS54" i="5"/>
  <c r="BA52" i="5"/>
  <c r="AZ52" i="5"/>
  <c r="AY52" i="5"/>
  <c r="AX52" i="5"/>
  <c r="AW52" i="5"/>
  <c r="AV52" i="5"/>
  <c r="AU52" i="5"/>
  <c r="AT52" i="5"/>
  <c r="AS52" i="5"/>
  <c r="AY46" i="5"/>
  <c r="AV46" i="5"/>
  <c r="AU46" i="5"/>
  <c r="AT46" i="5"/>
  <c r="AS46" i="5"/>
  <c r="AZ50" i="5"/>
  <c r="AW50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J74" i="14"/>
  <c r="I74" i="14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N33" i="14" s="1"/>
  <c r="L33" i="14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N27" i="14" s="1"/>
  <c r="J27" i="14"/>
  <c r="I27" i="14"/>
  <c r="H27" i="14"/>
  <c r="M26" i="14"/>
  <c r="L26" i="14"/>
  <c r="N26" i="14" s="1"/>
  <c r="J26" i="14"/>
  <c r="I26" i="14"/>
  <c r="H26" i="14"/>
  <c r="M25" i="14"/>
  <c r="L25" i="14"/>
  <c r="N25" i="14" s="1"/>
  <c r="J25" i="14"/>
  <c r="I25" i="14"/>
  <c r="H25" i="14"/>
  <c r="M24" i="14"/>
  <c r="L24" i="14"/>
  <c r="J24" i="14"/>
  <c r="I24" i="14"/>
  <c r="H24" i="14"/>
  <c r="M23" i="14"/>
  <c r="L23" i="14"/>
  <c r="J23" i="14"/>
  <c r="I23" i="14"/>
  <c r="H23" i="14"/>
  <c r="M22" i="14"/>
  <c r="N22" i="14" s="1"/>
  <c r="L22" i="14"/>
  <c r="J22" i="14"/>
  <c r="I22" i="14"/>
  <c r="H22" i="14"/>
  <c r="M21" i="14"/>
  <c r="L21" i="14"/>
  <c r="J21" i="14"/>
  <c r="I21" i="14"/>
  <c r="H21" i="14"/>
  <c r="M20" i="14"/>
  <c r="N20" i="14" s="1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N28" i="13" s="1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N22" i="13" s="1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8" i="5" s="1"/>
  <c r="CM29" i="5" s="1"/>
  <c r="CM20" i="5"/>
  <c r="CM21" i="5"/>
  <c r="CM22" i="5"/>
  <c r="CM23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8" i="5" s="1"/>
  <c r="CL29" i="5" s="1"/>
  <c r="CL20" i="5"/>
  <c r="CL21" i="5"/>
  <c r="CL22" i="5"/>
  <c r="CL23" i="5"/>
  <c r="CL2" i="5"/>
  <c r="AW23" i="5"/>
  <c r="AW22" i="5"/>
  <c r="AW21" i="5"/>
  <c r="AW20" i="5"/>
  <c r="AW19" i="5"/>
  <c r="AW28" i="5" s="1"/>
  <c r="AW29" i="5" s="1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T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T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X28" i="5" s="1"/>
  <c r="AX29" i="5" s="1"/>
  <c r="AS20" i="5"/>
  <c r="AT20" i="5" s="1"/>
  <c r="AS21" i="5"/>
  <c r="AX21" i="5" s="1"/>
  <c r="AS22" i="5"/>
  <c r="AX22" i="5" s="1"/>
  <c r="AS23" i="5"/>
  <c r="AX23" i="5" s="1"/>
  <c r="AS2" i="5"/>
  <c r="AX2" i="5" s="1"/>
  <c r="E27" i="7"/>
  <c r="N39" i="15" l="1"/>
  <c r="F43" i="15"/>
  <c r="AA38" i="15"/>
  <c r="N30" i="14"/>
  <c r="N32" i="13"/>
  <c r="N24" i="14"/>
  <c r="F13" i="15"/>
  <c r="F16" i="15" s="1"/>
  <c r="G13" i="15"/>
  <c r="G39" i="15"/>
  <c r="N32" i="14"/>
  <c r="N35" i="14"/>
  <c r="F52" i="15"/>
  <c r="F56" i="15" s="1"/>
  <c r="F60" i="15" s="1"/>
  <c r="N24" i="13"/>
  <c r="N28" i="14"/>
  <c r="AA10" i="15"/>
  <c r="N32" i="12"/>
  <c r="N23" i="14"/>
  <c r="N25" i="12"/>
  <c r="N33" i="13"/>
  <c r="N27" i="12"/>
  <c r="N20" i="13"/>
  <c r="N35" i="13"/>
  <c r="N35" i="12"/>
  <c r="N34" i="13"/>
  <c r="N21" i="14"/>
  <c r="N34" i="14"/>
  <c r="N23" i="13"/>
  <c r="N29" i="14"/>
  <c r="AT41" i="5"/>
  <c r="AV49" i="5"/>
  <c r="AV50" i="5" s="1"/>
  <c r="AU41" i="5"/>
  <c r="AT43" i="5"/>
  <c r="AT44" i="5" s="1"/>
  <c r="AX49" i="5"/>
  <c r="AX50" i="5" s="1"/>
  <c r="AU43" i="5"/>
  <c r="AU44" i="5" s="1"/>
  <c r="AY49" i="5"/>
  <c r="AY50" i="5" s="1"/>
  <c r="BA49" i="5"/>
  <c r="BA50" i="5" s="1"/>
  <c r="AT39" i="5"/>
  <c r="AT40" i="5" s="1"/>
  <c r="AT49" i="5"/>
  <c r="AT50" i="5" s="1"/>
  <c r="AU39" i="5"/>
  <c r="AU40" i="5" s="1"/>
  <c r="AU49" i="5"/>
  <c r="AU50" i="5" s="1"/>
  <c r="CM30" i="5"/>
  <c r="CM31" i="5" s="1"/>
  <c r="I11" i="14" s="1"/>
  <c r="I39" i="14" s="1"/>
  <c r="AB39" i="14" s="1"/>
  <c r="CL30" i="5"/>
  <c r="CL31" i="5" s="1"/>
  <c r="G11" i="14" s="1"/>
  <c r="AW30" i="5"/>
  <c r="AW31" i="5" s="1"/>
  <c r="I11" i="13"/>
  <c r="I39" i="13" s="1"/>
  <c r="AB39" i="13" s="1"/>
  <c r="G16" i="10"/>
  <c r="G11" i="13"/>
  <c r="E16" i="10"/>
  <c r="AT21" i="5"/>
  <c r="BU21" i="5" s="1"/>
  <c r="N39" i="14"/>
  <c r="N24" i="12"/>
  <c r="N26" i="13"/>
  <c r="N33" i="12"/>
  <c r="N29" i="13"/>
  <c r="N23" i="12"/>
  <c r="N25" i="13"/>
  <c r="F52" i="14"/>
  <c r="F56" i="14" s="1"/>
  <c r="F60" i="14" s="1"/>
  <c r="N22" i="12"/>
  <c r="N34" i="12"/>
  <c r="N21" i="13"/>
  <c r="N30" i="12"/>
  <c r="N30" i="13"/>
  <c r="N39" i="13"/>
  <c r="N21" i="12"/>
  <c r="N26" i="12"/>
  <c r="N29" i="12"/>
  <c r="N20" i="12"/>
  <c r="F52" i="13"/>
  <c r="F56" i="13" s="1"/>
  <c r="F60" i="13" s="1"/>
  <c r="N28" i="12"/>
  <c r="AT22" i="5"/>
  <c r="BF22" i="5" s="1"/>
  <c r="AT19" i="5"/>
  <c r="BU19" i="5" s="1"/>
  <c r="BU28" i="5" s="1"/>
  <c r="BU29" i="5" s="1"/>
  <c r="AT6" i="5"/>
  <c r="BJ6" i="5" s="1"/>
  <c r="AT18" i="5"/>
  <c r="BI18" i="5" s="1"/>
  <c r="AT5" i="5"/>
  <c r="BQ5" i="5" s="1"/>
  <c r="AT10" i="5"/>
  <c r="BE10" i="5" s="1"/>
  <c r="AT9" i="5"/>
  <c r="CC9" i="5" s="1"/>
  <c r="CM26" i="5"/>
  <c r="CM27" i="5" s="1"/>
  <c r="I11" i="12" s="1"/>
  <c r="I39" i="12" s="1"/>
  <c r="AB39" i="12" s="1"/>
  <c r="AW26" i="5"/>
  <c r="AW27" i="5" s="1"/>
  <c r="AT17" i="5"/>
  <c r="CD17" i="5" s="1"/>
  <c r="AT3" i="5"/>
  <c r="BK3" i="5" s="1"/>
  <c r="AT14" i="5"/>
  <c r="CE14" i="5" s="1"/>
  <c r="AT13" i="5"/>
  <c r="CE13" i="5" s="1"/>
  <c r="AT11" i="5"/>
  <c r="CG11" i="5" s="1"/>
  <c r="CL26" i="5"/>
  <c r="CL27" i="5" s="1"/>
  <c r="G11" i="12" s="1"/>
  <c r="CK20" i="5"/>
  <c r="CE20" i="5"/>
  <c r="CA20" i="5"/>
  <c r="BW20" i="5"/>
  <c r="BS20" i="5"/>
  <c r="CI20" i="5"/>
  <c r="CF20" i="5"/>
  <c r="BT20" i="5"/>
  <c r="CG20" i="5"/>
  <c r="CC20" i="5"/>
  <c r="BU20" i="5"/>
  <c r="BQ20" i="5"/>
  <c r="BM20" i="5"/>
  <c r="BJ20" i="5"/>
  <c r="CD20" i="5"/>
  <c r="BY20" i="5"/>
  <c r="BV20" i="5"/>
  <c r="BR20" i="5"/>
  <c r="BE20" i="5"/>
  <c r="BA20" i="5"/>
  <c r="BF20" i="5"/>
  <c r="BK20" i="5"/>
  <c r="BI20" i="5"/>
  <c r="BG20" i="5"/>
  <c r="AY20" i="5"/>
  <c r="AV20" i="5"/>
  <c r="BH20" i="5"/>
  <c r="AZ20" i="5"/>
  <c r="AU20" i="5"/>
  <c r="CK12" i="5"/>
  <c r="CE12" i="5"/>
  <c r="CA12" i="5"/>
  <c r="BW12" i="5"/>
  <c r="BS12" i="5"/>
  <c r="CI12" i="5"/>
  <c r="CF12" i="5"/>
  <c r="BT12" i="5"/>
  <c r="CG12" i="5"/>
  <c r="CC12" i="5"/>
  <c r="BU12" i="5"/>
  <c r="BQ12" i="5"/>
  <c r="BM12" i="5"/>
  <c r="BJ12" i="5"/>
  <c r="CD12" i="5"/>
  <c r="BY12" i="5"/>
  <c r="BV12" i="5"/>
  <c r="BR12" i="5"/>
  <c r="BH12" i="5"/>
  <c r="BE12" i="5"/>
  <c r="BA12" i="5"/>
  <c r="BF12" i="5"/>
  <c r="BG12" i="5"/>
  <c r="AY12" i="5"/>
  <c r="BK12" i="5"/>
  <c r="BI12" i="5"/>
  <c r="AZ12" i="5"/>
  <c r="AU12" i="5"/>
  <c r="BN12" i="5" s="1"/>
  <c r="AV12" i="5"/>
  <c r="BO12" i="5" s="1"/>
  <c r="CK4" i="5"/>
  <c r="CE4" i="5"/>
  <c r="CA4" i="5"/>
  <c r="BW4" i="5"/>
  <c r="BS4" i="5"/>
  <c r="BH4" i="5"/>
  <c r="CI4" i="5"/>
  <c r="CF4" i="5"/>
  <c r="BT4" i="5"/>
  <c r="CG4" i="5"/>
  <c r="CC4" i="5"/>
  <c r="BU4" i="5"/>
  <c r="BQ4" i="5"/>
  <c r="BM4" i="5"/>
  <c r="BJ4" i="5"/>
  <c r="CD4" i="5"/>
  <c r="BY4" i="5"/>
  <c r="BV4" i="5"/>
  <c r="BR4" i="5"/>
  <c r="BK4" i="5"/>
  <c r="BI4" i="5"/>
  <c r="BE4" i="5"/>
  <c r="BA4" i="5"/>
  <c r="BF4" i="5"/>
  <c r="BG4" i="5"/>
  <c r="AY4" i="5"/>
  <c r="AV4" i="5"/>
  <c r="BO4" i="5" s="1"/>
  <c r="AZ4" i="5"/>
  <c r="AU4" i="5"/>
  <c r="BB4" i="5" s="1"/>
  <c r="AT2" i="5"/>
  <c r="AT16" i="5"/>
  <c r="AT8" i="5"/>
  <c r="AT23" i="5"/>
  <c r="AT15" i="5"/>
  <c r="AT7" i="5"/>
  <c r="AX4" i="5"/>
  <c r="BD4" i="5" s="1"/>
  <c r="AX12" i="5"/>
  <c r="BD12" i="5" s="1"/>
  <c r="AX20" i="5"/>
  <c r="N39" i="12"/>
  <c r="F52" i="12"/>
  <c r="F56" i="12" s="1"/>
  <c r="F60" i="12" s="1"/>
  <c r="E51" i="9"/>
  <c r="F44" i="15" l="1"/>
  <c r="F67" i="15"/>
  <c r="J39" i="15"/>
  <c r="AA39" i="15"/>
  <c r="AA44" i="15"/>
  <c r="G41" i="15"/>
  <c r="BG14" i="5"/>
  <c r="BF6" i="5"/>
  <c r="CG19" i="5"/>
  <c r="CG28" i="5" s="1"/>
  <c r="CG29" i="5" s="1"/>
  <c r="CI5" i="5"/>
  <c r="CC6" i="5"/>
  <c r="AV18" i="5"/>
  <c r="BO18" i="5" s="1"/>
  <c r="CC14" i="5"/>
  <c r="BR21" i="5"/>
  <c r="BW14" i="5"/>
  <c r="BK21" i="5"/>
  <c r="CI3" i="5"/>
  <c r="BV14" i="5"/>
  <c r="CD6" i="5"/>
  <c r="BQ3" i="5"/>
  <c r="BR5" i="5"/>
  <c r="CD21" i="5"/>
  <c r="BQ21" i="5"/>
  <c r="AZ21" i="5"/>
  <c r="CI21" i="5"/>
  <c r="BD14" i="5"/>
  <c r="CK21" i="5"/>
  <c r="AY21" i="5"/>
  <c r="AU18" i="5"/>
  <c r="BN18" i="5" s="1"/>
  <c r="BH21" i="5"/>
  <c r="BA21" i="5"/>
  <c r="BP21" i="5" s="1"/>
  <c r="AZ18" i="5"/>
  <c r="CI18" i="5"/>
  <c r="BM10" i="5"/>
  <c r="BE6" i="5"/>
  <c r="BR6" i="5"/>
  <c r="BK5" i="5"/>
  <c r="BV18" i="5"/>
  <c r="BQ18" i="5"/>
  <c r="BF10" i="5"/>
  <c r="BM11" i="5"/>
  <c r="BD11" i="5"/>
  <c r="BV11" i="5"/>
  <c r="BF11" i="5"/>
  <c r="CG6" i="5"/>
  <c r="AY6" i="5"/>
  <c r="BJ3" i="5"/>
  <c r="CI6" i="5"/>
  <c r="BW6" i="5"/>
  <c r="BQ17" i="5"/>
  <c r="CF6" i="5"/>
  <c r="BE3" i="5"/>
  <c r="BL3" i="5" s="1"/>
  <c r="AZ6" i="5"/>
  <c r="CA6" i="5"/>
  <c r="BY3" i="5"/>
  <c r="AU6" i="5"/>
  <c r="BN6" i="5" s="1"/>
  <c r="CK3" i="5"/>
  <c r="BA3" i="5"/>
  <c r="BP3" i="5" s="1"/>
  <c r="CK6" i="5"/>
  <c r="BH6" i="5"/>
  <c r="AY3" i="5"/>
  <c r="BM6" i="5"/>
  <c r="BU3" i="5"/>
  <c r="BS18" i="5"/>
  <c r="CC18" i="5"/>
  <c r="BI14" i="5"/>
  <c r="CG21" i="5"/>
  <c r="BV21" i="5"/>
  <c r="BJ21" i="5"/>
  <c r="CE18" i="5"/>
  <c r="CG18" i="5"/>
  <c r="BT14" i="5"/>
  <c r="CD14" i="5"/>
  <c r="BA18" i="5"/>
  <c r="BP18" i="5" s="1"/>
  <c r="CB18" i="5" s="1"/>
  <c r="BY14" i="5"/>
  <c r="BJ18" i="5"/>
  <c r="BT21" i="5"/>
  <c r="BY21" i="5"/>
  <c r="BI21" i="5"/>
  <c r="AV14" i="5"/>
  <c r="BO14" i="5" s="1"/>
  <c r="CK18" i="5"/>
  <c r="BT18" i="5"/>
  <c r="CI14" i="5"/>
  <c r="BJ14" i="5"/>
  <c r="BM21" i="5"/>
  <c r="CF21" i="5"/>
  <c r="AU14" i="5"/>
  <c r="BN14" i="5" s="1"/>
  <c r="BF14" i="5"/>
  <c r="BK18" i="5"/>
  <c r="CF18" i="5"/>
  <c r="BS14" i="5"/>
  <c r="AU21" i="5"/>
  <c r="BN21" i="5" s="1"/>
  <c r="BY18" i="5"/>
  <c r="AU22" i="5"/>
  <c r="BB22" i="5" s="1"/>
  <c r="CA14" i="5"/>
  <c r="BE14" i="5"/>
  <c r="BS21" i="5"/>
  <c r="BM14" i="5"/>
  <c r="BD21" i="5"/>
  <c r="BF18" i="5"/>
  <c r="BH14" i="5"/>
  <c r="BA14" i="5"/>
  <c r="BP14" i="5" s="1"/>
  <c r="CA21" i="5"/>
  <c r="BF21" i="5"/>
  <c r="BM18" i="5"/>
  <c r="AV21" i="5"/>
  <c r="BO21" i="5" s="1"/>
  <c r="CD18" i="5"/>
  <c r="BQ14" i="5"/>
  <c r="BK14" i="5"/>
  <c r="CA18" i="5"/>
  <c r="BE21" i="5"/>
  <c r="AY18" i="5"/>
  <c r="BW21" i="5"/>
  <c r="BS22" i="5"/>
  <c r="BD18" i="5"/>
  <c r="BG21" i="5"/>
  <c r="AY14" i="5"/>
  <c r="BW18" i="5"/>
  <c r="BU18" i="5"/>
  <c r="BU14" i="5"/>
  <c r="CK14" i="5"/>
  <c r="BV3" i="5"/>
  <c r="BD6" i="5"/>
  <c r="BI6" i="5"/>
  <c r="BV6" i="5"/>
  <c r="AV3" i="5"/>
  <c r="BO3" i="5" s="1"/>
  <c r="BM3" i="5"/>
  <c r="CE3" i="5"/>
  <c r="AS39" i="5"/>
  <c r="AS40" i="5" s="1"/>
  <c r="CC3" i="5"/>
  <c r="AZ13" i="5"/>
  <c r="BH3" i="5"/>
  <c r="BU6" i="5"/>
  <c r="CE6" i="5"/>
  <c r="BS3" i="5"/>
  <c r="AV6" i="5"/>
  <c r="BC6" i="5" s="1"/>
  <c r="BI3" i="5"/>
  <c r="BQ6" i="5"/>
  <c r="BS6" i="5"/>
  <c r="BY6" i="5"/>
  <c r="BA6" i="5"/>
  <c r="BP6" i="5" s="1"/>
  <c r="BG3" i="5"/>
  <c r="BI11" i="5"/>
  <c r="CD3" i="5"/>
  <c r="BW3" i="5"/>
  <c r="CF14" i="5"/>
  <c r="BR14" i="5"/>
  <c r="G27" i="10"/>
  <c r="AS43" i="5"/>
  <c r="AS44" i="5" s="1"/>
  <c r="AU42" i="5"/>
  <c r="BD3" i="5"/>
  <c r="AU3" i="5"/>
  <c r="BB3" i="5" s="1"/>
  <c r="CG3" i="5"/>
  <c r="BG6" i="5"/>
  <c r="BT3" i="5"/>
  <c r="AS41" i="5"/>
  <c r="AS42" i="5" s="1"/>
  <c r="AT42" i="5"/>
  <c r="BA11" i="5"/>
  <c r="BP11" i="5" s="1"/>
  <c r="AZ14" i="5"/>
  <c r="BT6" i="5"/>
  <c r="BK6" i="5"/>
  <c r="BF3" i="5"/>
  <c r="BG18" i="5"/>
  <c r="CC21" i="5"/>
  <c r="CE21" i="5"/>
  <c r="BR3" i="5"/>
  <c r="BH18" i="5"/>
  <c r="AZ3" i="5"/>
  <c r="CA3" i="5"/>
  <c r="CF3" i="5"/>
  <c r="BE18" i="5"/>
  <c r="BR18" i="5"/>
  <c r="CG14" i="5"/>
  <c r="BQ22" i="5"/>
  <c r="AV22" i="5"/>
  <c r="BC22" i="5" s="1"/>
  <c r="BR22" i="5"/>
  <c r="BK22" i="5"/>
  <c r="BA22" i="5"/>
  <c r="BP22" i="5" s="1"/>
  <c r="E27" i="10"/>
  <c r="H27" i="10" s="1"/>
  <c r="AZ17" i="5"/>
  <c r="BU17" i="5"/>
  <c r="BH19" i="5"/>
  <c r="BH28" i="5" s="1"/>
  <c r="BH29" i="5" s="1"/>
  <c r="BM19" i="5"/>
  <c r="BM28" i="5" s="1"/>
  <c r="BM29" i="5" s="1"/>
  <c r="G17" i="10" s="1"/>
  <c r="AY17" i="5"/>
  <c r="BI22" i="5"/>
  <c r="BD22" i="5"/>
  <c r="CB22" i="5" s="1"/>
  <c r="BU22" i="5"/>
  <c r="BV22" i="5"/>
  <c r="BA19" i="5"/>
  <c r="BA28" i="5" s="1"/>
  <c r="BA29" i="5" s="1"/>
  <c r="I15" i="10" s="1"/>
  <c r="BJ17" i="5"/>
  <c r="CF22" i="5"/>
  <c r="CI22" i="5"/>
  <c r="BG17" i="5"/>
  <c r="BJ19" i="5"/>
  <c r="BJ28" i="5" s="1"/>
  <c r="BJ29" i="5" s="1"/>
  <c r="CF17" i="5"/>
  <c r="CA19" i="5"/>
  <c r="CA28" i="5" s="1"/>
  <c r="CA29" i="5" s="1"/>
  <c r="L12" i="13" s="1"/>
  <c r="BI17" i="5"/>
  <c r="CE22" i="5"/>
  <c r="AZ19" i="5"/>
  <c r="AZ28" i="5" s="1"/>
  <c r="AZ29" i="5" s="1"/>
  <c r="G12" i="13" s="1"/>
  <c r="G40" i="13" s="1"/>
  <c r="CI17" i="5"/>
  <c r="CC19" i="5"/>
  <c r="CC28" i="5" s="1"/>
  <c r="CC29" i="5" s="1"/>
  <c r="AA11" i="13"/>
  <c r="AB11" i="13"/>
  <c r="AB45" i="13" s="1"/>
  <c r="CA17" i="5"/>
  <c r="CC17" i="5"/>
  <c r="CE19" i="5"/>
  <c r="CE28" i="5" s="1"/>
  <c r="CE29" i="5" s="1"/>
  <c r="BT19" i="5"/>
  <c r="BT28" i="5" s="1"/>
  <c r="BT29" i="5" s="1"/>
  <c r="BG22" i="5"/>
  <c r="BO20" i="5"/>
  <c r="BF19" i="5"/>
  <c r="BF28" i="5" s="1"/>
  <c r="BF29" i="5" s="1"/>
  <c r="BE22" i="5"/>
  <c r="BY22" i="5"/>
  <c r="BY19" i="5"/>
  <c r="BY28" i="5" s="1"/>
  <c r="BY29" i="5" s="1"/>
  <c r="BM17" i="5"/>
  <c r="G39" i="13"/>
  <c r="AA39" i="13" s="1"/>
  <c r="AC39" i="13" s="1"/>
  <c r="BV19" i="5"/>
  <c r="BV28" i="5" s="1"/>
  <c r="BV29" i="5" s="1"/>
  <c r="AY19" i="5"/>
  <c r="AY28" i="5" s="1"/>
  <c r="AY29" i="5" s="1"/>
  <c r="BE17" i="5"/>
  <c r="CJ22" i="5"/>
  <c r="BH17" i="5"/>
  <c r="BD20" i="5"/>
  <c r="BL20" i="5" s="1"/>
  <c r="AX30" i="5"/>
  <c r="AX31" i="5" s="1"/>
  <c r="BL22" i="5"/>
  <c r="CK17" i="5"/>
  <c r="BT17" i="5"/>
  <c r="AS28" i="5"/>
  <c r="AS29" i="5" s="1"/>
  <c r="CI19" i="5"/>
  <c r="CI28" i="5" s="1"/>
  <c r="CI29" i="5" s="1"/>
  <c r="J11" i="13"/>
  <c r="BI19" i="5"/>
  <c r="BI28" i="5" s="1"/>
  <c r="BI29" i="5" s="1"/>
  <c r="BF17" i="5"/>
  <c r="BS17" i="5"/>
  <c r="BW22" i="5"/>
  <c r="CE17" i="5"/>
  <c r="CG17" i="5"/>
  <c r="CK19" i="5"/>
  <c r="CK28" i="5" s="1"/>
  <c r="CK29" i="5" s="1"/>
  <c r="M12" i="13" s="1"/>
  <c r="M40" i="13" s="1"/>
  <c r="CF19" i="5"/>
  <c r="CF28" i="5" s="1"/>
  <c r="CF29" i="5" s="1"/>
  <c r="BW17" i="5"/>
  <c r="BH22" i="5"/>
  <c r="BM22" i="5"/>
  <c r="BK19" i="5"/>
  <c r="BK28" i="5" s="1"/>
  <c r="BK29" i="5" s="1"/>
  <c r="CC22" i="5"/>
  <c r="BZ22" i="5"/>
  <c r="CH22" i="5"/>
  <c r="BQ19" i="5"/>
  <c r="BQ28" i="5" s="1"/>
  <c r="BQ29" i="5" s="1"/>
  <c r="BR19" i="5"/>
  <c r="BR28" i="5" s="1"/>
  <c r="BR29" i="5" s="1"/>
  <c r="BE19" i="5"/>
  <c r="BE28" i="5" s="1"/>
  <c r="BE29" i="5" s="1"/>
  <c r="AZ22" i="5"/>
  <c r="BK17" i="5"/>
  <c r="CG22" i="5"/>
  <c r="CA22" i="5"/>
  <c r="CD22" i="5"/>
  <c r="BG19" i="5"/>
  <c r="BG28" i="5" s="1"/>
  <c r="BG29" i="5" s="1"/>
  <c r="BJ22" i="5"/>
  <c r="BD19" i="5"/>
  <c r="BD28" i="5" s="1"/>
  <c r="BD29" i="5" s="1"/>
  <c r="BV17" i="5"/>
  <c r="CD19" i="5"/>
  <c r="CD28" i="5" s="1"/>
  <c r="CD29" i="5" s="1"/>
  <c r="BS19" i="5"/>
  <c r="BS28" i="5" s="1"/>
  <c r="BS29" i="5" s="1"/>
  <c r="AS30" i="5"/>
  <c r="AS31" i="5" s="1"/>
  <c r="BA17" i="5"/>
  <c r="BP17" i="5" s="1"/>
  <c r="AU19" i="5"/>
  <c r="AU28" i="5" s="1"/>
  <c r="AU29" i="5" s="1"/>
  <c r="BY17" i="5"/>
  <c r="AT28" i="5"/>
  <c r="AT29" i="5" s="1"/>
  <c r="BW19" i="5"/>
  <c r="BW28" i="5" s="1"/>
  <c r="BW29" i="5" s="1"/>
  <c r="BB20" i="5"/>
  <c r="AT30" i="5"/>
  <c r="AT31" i="5" s="1"/>
  <c r="AV19" i="5"/>
  <c r="AV28" i="5" s="1"/>
  <c r="AV29" i="5" s="1"/>
  <c r="BT22" i="5"/>
  <c r="CK22" i="5"/>
  <c r="BD17" i="5"/>
  <c r="BX22" i="5"/>
  <c r="AY22" i="5"/>
  <c r="H16" i="10"/>
  <c r="J11" i="14"/>
  <c r="G39" i="14"/>
  <c r="AA11" i="14"/>
  <c r="AB11" i="14"/>
  <c r="AB45" i="14" s="1"/>
  <c r="F67" i="14"/>
  <c r="F67" i="13"/>
  <c r="AV10" i="5"/>
  <c r="BO10" i="5" s="1"/>
  <c r="BT5" i="5"/>
  <c r="BJ5" i="5"/>
  <c r="CE5" i="5"/>
  <c r="BJ13" i="5"/>
  <c r="BD5" i="5"/>
  <c r="CG13" i="5"/>
  <c r="CK11" i="5"/>
  <c r="BW10" i="5"/>
  <c r="CJ11" i="5"/>
  <c r="CI10" i="5"/>
  <c r="BF9" i="5"/>
  <c r="BL11" i="5"/>
  <c r="CF10" i="5"/>
  <c r="CH11" i="5"/>
  <c r="BE11" i="5"/>
  <c r="AV11" i="5"/>
  <c r="BC11" i="5" s="1"/>
  <c r="AY10" i="5"/>
  <c r="CA10" i="5"/>
  <c r="BT11" i="5"/>
  <c r="BR11" i="5"/>
  <c r="BH10" i="5"/>
  <c r="CK10" i="5"/>
  <c r="CF11" i="5"/>
  <c r="BK11" i="5"/>
  <c r="CD10" i="5"/>
  <c r="BS11" i="5"/>
  <c r="BQ10" i="5"/>
  <c r="BH11" i="5"/>
  <c r="BJ10" i="5"/>
  <c r="CC10" i="5"/>
  <c r="CG9" i="5"/>
  <c r="BI13" i="5"/>
  <c r="BD13" i="5"/>
  <c r="BH13" i="5"/>
  <c r="CK5" i="5"/>
  <c r="BE13" i="5"/>
  <c r="AU13" i="5"/>
  <c r="BB13" i="5" s="1"/>
  <c r="BT9" i="5"/>
  <c r="BY5" i="5"/>
  <c r="BH5" i="5"/>
  <c r="BA5" i="5"/>
  <c r="BP5" i="5" s="1"/>
  <c r="BQ13" i="5"/>
  <c r="BC21" i="5"/>
  <c r="CI13" i="5"/>
  <c r="BL13" i="5"/>
  <c r="CC5" i="5"/>
  <c r="BM13" i="5"/>
  <c r="CK13" i="5"/>
  <c r="CG5" i="5"/>
  <c r="BG13" i="5"/>
  <c r="BY13" i="5"/>
  <c r="CB11" i="5"/>
  <c r="BG9" i="5"/>
  <c r="BC12" i="5"/>
  <c r="BM9" i="5"/>
  <c r="BI9" i="5"/>
  <c r="BR9" i="5"/>
  <c r="BH9" i="5"/>
  <c r="BE9" i="5"/>
  <c r="BS9" i="5"/>
  <c r="AY9" i="5"/>
  <c r="E5" i="10"/>
  <c r="CE9" i="5"/>
  <c r="CK9" i="5"/>
  <c r="BW9" i="5"/>
  <c r="BV9" i="5"/>
  <c r="BK9" i="5"/>
  <c r="BD9" i="5"/>
  <c r="BJ9" i="5"/>
  <c r="BY9" i="5"/>
  <c r="AZ9" i="5"/>
  <c r="CD9" i="5"/>
  <c r="CF9" i="5"/>
  <c r="BQ9" i="5"/>
  <c r="CI9" i="5"/>
  <c r="BU9" i="5"/>
  <c r="BA9" i="5"/>
  <c r="BP9" i="5" s="1"/>
  <c r="CA9" i="5"/>
  <c r="BB21" i="5"/>
  <c r="BC14" i="5"/>
  <c r="BT13" i="5"/>
  <c r="BR13" i="5"/>
  <c r="CF5" i="5"/>
  <c r="BV5" i="5"/>
  <c r="BM5" i="5"/>
  <c r="AU5" i="5"/>
  <c r="BB5" i="5" s="1"/>
  <c r="BK13" i="5"/>
  <c r="CF13" i="5"/>
  <c r="BV13" i="5"/>
  <c r="BA13" i="5"/>
  <c r="BP13" i="5" s="1"/>
  <c r="BF5" i="5"/>
  <c r="CD13" i="5"/>
  <c r="BS13" i="5"/>
  <c r="BZ13" i="5"/>
  <c r="BW5" i="5"/>
  <c r="BF13" i="5"/>
  <c r="AY5" i="5"/>
  <c r="CJ13" i="5"/>
  <c r="BW13" i="5"/>
  <c r="CH13" i="5"/>
  <c r="BS5" i="5"/>
  <c r="AZ5" i="5"/>
  <c r="CD5" i="5"/>
  <c r="CA5" i="5"/>
  <c r="BI5" i="5"/>
  <c r="BE5" i="5"/>
  <c r="BP19" i="5"/>
  <c r="AY13" i="5"/>
  <c r="AV13" i="5"/>
  <c r="BO13" i="5" s="1"/>
  <c r="AV5" i="5"/>
  <c r="BO5" i="5" s="1"/>
  <c r="BX13" i="5"/>
  <c r="CA13" i="5"/>
  <c r="G5" i="10"/>
  <c r="BU5" i="5"/>
  <c r="BU13" i="5"/>
  <c r="BG5" i="5"/>
  <c r="CC13" i="5"/>
  <c r="BY11" i="5"/>
  <c r="AZ10" i="5"/>
  <c r="AZ11" i="5"/>
  <c r="CE10" i="5"/>
  <c r="BU10" i="5"/>
  <c r="CD11" i="5"/>
  <c r="CI11" i="5"/>
  <c r="AV9" i="5"/>
  <c r="AU9" i="5"/>
  <c r="BC18" i="5"/>
  <c r="AY11" i="5"/>
  <c r="BK10" i="5"/>
  <c r="CG10" i="5"/>
  <c r="AU11" i="5"/>
  <c r="BB11" i="5" s="1"/>
  <c r="BU11" i="5"/>
  <c r="BW11" i="5"/>
  <c r="BQ11" i="5"/>
  <c r="BL12" i="5"/>
  <c r="BR10" i="5"/>
  <c r="BI10" i="5"/>
  <c r="BZ11" i="5"/>
  <c r="BX11" i="5"/>
  <c r="BL4" i="5"/>
  <c r="AU10" i="5"/>
  <c r="BV10" i="5"/>
  <c r="CA11" i="5"/>
  <c r="CC11" i="5"/>
  <c r="BG10" i="5"/>
  <c r="BG11" i="5"/>
  <c r="BD10" i="5"/>
  <c r="BJ11" i="5"/>
  <c r="BS10" i="5"/>
  <c r="BY10" i="5"/>
  <c r="BT10" i="5"/>
  <c r="BA10" i="5"/>
  <c r="BP10" i="5" s="1"/>
  <c r="CE11" i="5"/>
  <c r="BR17" i="5"/>
  <c r="AU17" i="5"/>
  <c r="AV17" i="5"/>
  <c r="BB6" i="5"/>
  <c r="BZ6" i="5" s="1"/>
  <c r="CJ23" i="5"/>
  <c r="BU23" i="5"/>
  <c r="BQ23" i="5"/>
  <c r="BQ30" i="5" s="1"/>
  <c r="BQ31" i="5" s="1"/>
  <c r="CD23" i="5"/>
  <c r="CH23" i="5"/>
  <c r="BY23" i="5"/>
  <c r="BV23" i="5"/>
  <c r="BR23" i="5"/>
  <c r="CK23" i="5"/>
  <c r="CE23" i="5"/>
  <c r="CE30" i="5" s="1"/>
  <c r="CE31" i="5" s="1"/>
  <c r="CA23" i="5"/>
  <c r="BZ23" i="5"/>
  <c r="BW23" i="5"/>
  <c r="BS23" i="5"/>
  <c r="BS30" i="5" s="1"/>
  <c r="BS31" i="5" s="1"/>
  <c r="CI23" i="5"/>
  <c r="CF23" i="5"/>
  <c r="BL23" i="5"/>
  <c r="CG23" i="5"/>
  <c r="CC23" i="5"/>
  <c r="BX23" i="5"/>
  <c r="BG23" i="5"/>
  <c r="AY23" i="5"/>
  <c r="BT23" i="5"/>
  <c r="BH23" i="5"/>
  <c r="BD23" i="5"/>
  <c r="AZ23" i="5"/>
  <c r="BM23" i="5"/>
  <c r="BE23" i="5"/>
  <c r="BA23" i="5"/>
  <c r="BP23" i="5" s="1"/>
  <c r="BK23" i="5"/>
  <c r="BK30" i="5" s="1"/>
  <c r="BK31" i="5" s="1"/>
  <c r="BF23" i="5"/>
  <c r="BF30" i="5" s="1"/>
  <c r="BF31" i="5" s="1"/>
  <c r="AV23" i="5"/>
  <c r="BC23" i="5" s="1"/>
  <c r="BJ23" i="5"/>
  <c r="BI23" i="5"/>
  <c r="AU23" i="5"/>
  <c r="BN23" i="5" s="1"/>
  <c r="BB12" i="5"/>
  <c r="BZ12" i="5" s="1"/>
  <c r="BP12" i="5"/>
  <c r="BC20" i="5"/>
  <c r="BN20" i="5"/>
  <c r="BB14" i="5"/>
  <c r="BZ14" i="5" s="1"/>
  <c r="BC4" i="5"/>
  <c r="BU7" i="5"/>
  <c r="BQ7" i="5"/>
  <c r="CD7" i="5"/>
  <c r="BY7" i="5"/>
  <c r="BV7" i="5"/>
  <c r="BR7" i="5"/>
  <c r="CK7" i="5"/>
  <c r="CE7" i="5"/>
  <c r="CA7" i="5"/>
  <c r="BW7" i="5"/>
  <c r="BS7" i="5"/>
  <c r="CI7" i="5"/>
  <c r="CF7" i="5"/>
  <c r="CG7" i="5"/>
  <c r="CC7" i="5"/>
  <c r="BG7" i="5"/>
  <c r="AY7" i="5"/>
  <c r="BK7" i="5"/>
  <c r="BD7" i="5"/>
  <c r="AZ7" i="5"/>
  <c r="BJ7" i="5"/>
  <c r="BI7" i="5"/>
  <c r="BH7" i="5"/>
  <c r="BE7" i="5"/>
  <c r="BA7" i="5"/>
  <c r="BP7" i="5" s="1"/>
  <c r="BF7" i="5"/>
  <c r="AV7" i="5"/>
  <c r="BC7" i="5" s="1"/>
  <c r="BT7" i="5"/>
  <c r="BM7" i="5"/>
  <c r="AU7" i="5"/>
  <c r="BN7" i="5" s="1"/>
  <c r="BC3" i="5"/>
  <c r="CG8" i="5"/>
  <c r="CC8" i="5"/>
  <c r="BU8" i="5"/>
  <c r="BQ8" i="5"/>
  <c r="BM8" i="5"/>
  <c r="BJ8" i="5"/>
  <c r="CD8" i="5"/>
  <c r="BY8" i="5"/>
  <c r="BV8" i="5"/>
  <c r="BR8" i="5"/>
  <c r="CK8" i="5"/>
  <c r="CE8" i="5"/>
  <c r="CA8" i="5"/>
  <c r="BW8" i="5"/>
  <c r="BS8" i="5"/>
  <c r="BH8" i="5"/>
  <c r="CI8" i="5"/>
  <c r="CF8" i="5"/>
  <c r="BT8" i="5"/>
  <c r="BG8" i="5"/>
  <c r="AY8" i="5"/>
  <c r="BK8" i="5"/>
  <c r="BD8" i="5"/>
  <c r="AZ8" i="5"/>
  <c r="AU8" i="5"/>
  <c r="BB8" i="5" s="1"/>
  <c r="BI8" i="5"/>
  <c r="BE8" i="5"/>
  <c r="BA8" i="5"/>
  <c r="BP8" i="5" s="1"/>
  <c r="BF8" i="5"/>
  <c r="AV8" i="5"/>
  <c r="BO8" i="5" s="1"/>
  <c r="BN4" i="5"/>
  <c r="BZ4" i="5" s="1"/>
  <c r="BP20" i="5"/>
  <c r="AB11" i="12"/>
  <c r="AB45" i="12" s="1"/>
  <c r="AA11" i="12"/>
  <c r="J11" i="12"/>
  <c r="G39" i="12"/>
  <c r="CG16" i="5"/>
  <c r="CC16" i="5"/>
  <c r="BU16" i="5"/>
  <c r="BQ16" i="5"/>
  <c r="BM16" i="5"/>
  <c r="BJ16" i="5"/>
  <c r="CD16" i="5"/>
  <c r="BY16" i="5"/>
  <c r="BV16" i="5"/>
  <c r="BR16" i="5"/>
  <c r="CK16" i="5"/>
  <c r="CE16" i="5"/>
  <c r="CA16" i="5"/>
  <c r="BW16" i="5"/>
  <c r="BS16" i="5"/>
  <c r="BH16" i="5"/>
  <c r="CI16" i="5"/>
  <c r="CF16" i="5"/>
  <c r="BT16" i="5"/>
  <c r="BK16" i="5"/>
  <c r="BG16" i="5"/>
  <c r="AY16" i="5"/>
  <c r="BI16" i="5"/>
  <c r="BD16" i="5"/>
  <c r="AZ16" i="5"/>
  <c r="AU16" i="5"/>
  <c r="BB16" i="5" s="1"/>
  <c r="AV16" i="5"/>
  <c r="BO16" i="5" s="1"/>
  <c r="BE16" i="5"/>
  <c r="BA16" i="5"/>
  <c r="BP16" i="5" s="1"/>
  <c r="BF16" i="5"/>
  <c r="BP4" i="5"/>
  <c r="CG2" i="5"/>
  <c r="CC2" i="5"/>
  <c r="BU2" i="5"/>
  <c r="BQ2" i="5"/>
  <c r="BM2" i="5"/>
  <c r="BJ2" i="5"/>
  <c r="CD2" i="5"/>
  <c r="AT26" i="5"/>
  <c r="AT27" i="5" s="1"/>
  <c r="BY2" i="5"/>
  <c r="BV2" i="5"/>
  <c r="BR2" i="5"/>
  <c r="AS26" i="5"/>
  <c r="AS27" i="5" s="1"/>
  <c r="CK2" i="5"/>
  <c r="CE2" i="5"/>
  <c r="CA2" i="5"/>
  <c r="BW2" i="5"/>
  <c r="BS2" i="5"/>
  <c r="CI2" i="5"/>
  <c r="CF2" i="5"/>
  <c r="BT2" i="5"/>
  <c r="BI2" i="5"/>
  <c r="BG2" i="5"/>
  <c r="AY2" i="5"/>
  <c r="BH2" i="5"/>
  <c r="BD2" i="5"/>
  <c r="AZ2" i="5"/>
  <c r="AV2" i="5"/>
  <c r="BE2" i="5"/>
  <c r="BA2" i="5"/>
  <c r="BP2" i="5" s="1"/>
  <c r="BK2" i="5"/>
  <c r="BF2" i="5"/>
  <c r="AU2" i="5"/>
  <c r="BB2" i="5" s="1"/>
  <c r="AX26" i="5"/>
  <c r="AX27" i="5" s="1"/>
  <c r="BU15" i="5"/>
  <c r="BQ15" i="5"/>
  <c r="CD15" i="5"/>
  <c r="BY15" i="5"/>
  <c r="BV15" i="5"/>
  <c r="BR15" i="5"/>
  <c r="CK15" i="5"/>
  <c r="CE15" i="5"/>
  <c r="CA15" i="5"/>
  <c r="BW15" i="5"/>
  <c r="BS15" i="5"/>
  <c r="CI15" i="5"/>
  <c r="CF15" i="5"/>
  <c r="CG15" i="5"/>
  <c r="CC15" i="5"/>
  <c r="BT15" i="5"/>
  <c r="BK15" i="5"/>
  <c r="BG15" i="5"/>
  <c r="AY15" i="5"/>
  <c r="BJ15" i="5"/>
  <c r="BI15" i="5"/>
  <c r="BD15" i="5"/>
  <c r="AZ15" i="5"/>
  <c r="BH15" i="5"/>
  <c r="BE15" i="5"/>
  <c r="BA15" i="5"/>
  <c r="BP15" i="5" s="1"/>
  <c r="BM15" i="5"/>
  <c r="BF15" i="5"/>
  <c r="AV15" i="5"/>
  <c r="BO15" i="5" s="1"/>
  <c r="AU15" i="5"/>
  <c r="BB15" i="5" s="1"/>
  <c r="F67" i="12"/>
  <c r="C12" i="7"/>
  <c r="C13" i="7"/>
  <c r="C14" i="7"/>
  <c r="BI30" i="5" l="1"/>
  <c r="BI31" i="5" s="1"/>
  <c r="AC39" i="15"/>
  <c r="AA45" i="15"/>
  <c r="AC45" i="15" s="1"/>
  <c r="BZ21" i="5"/>
  <c r="CB3" i="5"/>
  <c r="CB14" i="5"/>
  <c r="F45" i="15"/>
  <c r="F75" i="15"/>
  <c r="F80" i="15" s="1"/>
  <c r="BE30" i="5"/>
  <c r="BE31" i="5" s="1"/>
  <c r="G63" i="12"/>
  <c r="I63" i="12" s="1"/>
  <c r="G63" i="14"/>
  <c r="I63" i="14" s="1"/>
  <c r="G63" i="13"/>
  <c r="I63" i="13" s="1"/>
  <c r="CA30" i="5"/>
  <c r="CA31" i="5" s="1"/>
  <c r="BN22" i="5"/>
  <c r="BN30" i="5" s="1"/>
  <c r="BN31" i="5" s="1"/>
  <c r="BX3" i="5"/>
  <c r="CB6" i="5"/>
  <c r="BL14" i="5"/>
  <c r="BX21" i="5"/>
  <c r="BJ30" i="5"/>
  <c r="BJ31" i="5" s="1"/>
  <c r="CF30" i="5"/>
  <c r="CF31" i="5" s="1"/>
  <c r="BR30" i="5"/>
  <c r="BR31" i="5" s="1"/>
  <c r="BO6" i="5"/>
  <c r="BN3" i="5"/>
  <c r="BZ3" i="5" s="1"/>
  <c r="CB21" i="5"/>
  <c r="BW30" i="5"/>
  <c r="BW31" i="5" s="1"/>
  <c r="BX18" i="5"/>
  <c r="BB18" i="5"/>
  <c r="BZ18" i="5" s="1"/>
  <c r="BX6" i="5"/>
  <c r="BL18" i="5"/>
  <c r="BX14" i="5"/>
  <c r="BL6" i="5"/>
  <c r="CC30" i="5"/>
  <c r="CC31" i="5" s="1"/>
  <c r="BL21" i="5"/>
  <c r="BL30" i="5" s="1"/>
  <c r="BL31" i="5" s="1"/>
  <c r="CG30" i="5"/>
  <c r="CG31" i="5" s="1"/>
  <c r="BN19" i="5"/>
  <c r="BD30" i="5"/>
  <c r="BD31" i="5" s="1"/>
  <c r="BT30" i="5"/>
  <c r="BT31" i="5" s="1"/>
  <c r="BV30" i="5"/>
  <c r="BV31" i="5" s="1"/>
  <c r="BY30" i="5"/>
  <c r="BY31" i="5" s="1"/>
  <c r="J17" i="10"/>
  <c r="BO19" i="5"/>
  <c r="BO28" i="5" s="1"/>
  <c r="BO29" i="5" s="1"/>
  <c r="BC19" i="5"/>
  <c r="BC28" i="5" s="1"/>
  <c r="BC29" i="5" s="1"/>
  <c r="CD30" i="5"/>
  <c r="CD31" i="5" s="1"/>
  <c r="BO11" i="5"/>
  <c r="J39" i="13"/>
  <c r="I12" i="13"/>
  <c r="I40" i="13" s="1"/>
  <c r="BO22" i="5"/>
  <c r="BB19" i="5"/>
  <c r="BB28" i="5" s="1"/>
  <c r="BB29" i="5" s="1"/>
  <c r="H10" i="13" s="1"/>
  <c r="AV41" i="5"/>
  <c r="AV39" i="5"/>
  <c r="AV40" i="5" s="1"/>
  <c r="AY43" i="5"/>
  <c r="AY44" i="5" s="1"/>
  <c r="AY39" i="5"/>
  <c r="AY40" i="5" s="1"/>
  <c r="AV43" i="5"/>
  <c r="AV44" i="5" s="1"/>
  <c r="AY41" i="5"/>
  <c r="BC10" i="5"/>
  <c r="BP30" i="5"/>
  <c r="BP31" i="5" s="1"/>
  <c r="K17" i="10"/>
  <c r="BL17" i="5"/>
  <c r="K10" i="13"/>
  <c r="CB17" i="5"/>
  <c r="AZ30" i="5"/>
  <c r="AZ31" i="5" s="1"/>
  <c r="G12" i="14" s="1"/>
  <c r="CK30" i="5"/>
  <c r="CK31" i="5" s="1"/>
  <c r="BH30" i="5"/>
  <c r="BH31" i="5" s="1"/>
  <c r="BL19" i="5"/>
  <c r="BL28" i="5" s="1"/>
  <c r="BL29" i="5" s="1"/>
  <c r="I10" i="13" s="1"/>
  <c r="CI30" i="5"/>
  <c r="CI31" i="5" s="1"/>
  <c r="AA45" i="13"/>
  <c r="AC45" i="13" s="1"/>
  <c r="BC30" i="5"/>
  <c r="BC31" i="5" s="1"/>
  <c r="BG30" i="5"/>
  <c r="BG31" i="5" s="1"/>
  <c r="BX17" i="5"/>
  <c r="CB19" i="5"/>
  <c r="CB28" i="5" s="1"/>
  <c r="CB29" i="5" s="1"/>
  <c r="BM30" i="5"/>
  <c r="BM31" i="5" s="1"/>
  <c r="AY30" i="5"/>
  <c r="AY31" i="5" s="1"/>
  <c r="G10" i="14" s="1"/>
  <c r="E17" i="10"/>
  <c r="BU30" i="5"/>
  <c r="BU31" i="5" s="1"/>
  <c r="F12" i="14"/>
  <c r="F40" i="14" s="1"/>
  <c r="D28" i="10"/>
  <c r="F10" i="14"/>
  <c r="D26" i="10"/>
  <c r="D15" i="10"/>
  <c r="F10" i="13"/>
  <c r="AU30" i="5"/>
  <c r="AU31" i="5" s="1"/>
  <c r="E15" i="10"/>
  <c r="G10" i="13"/>
  <c r="J39" i="14"/>
  <c r="AA39" i="14"/>
  <c r="AV30" i="5"/>
  <c r="AV31" i="5" s="1"/>
  <c r="F12" i="13"/>
  <c r="F40" i="13" s="1"/>
  <c r="D17" i="10"/>
  <c r="BA30" i="5"/>
  <c r="BA31" i="5" s="1"/>
  <c r="F15" i="10"/>
  <c r="F75" i="14"/>
  <c r="F80" i="14" s="1"/>
  <c r="H12" i="13"/>
  <c r="F17" i="10"/>
  <c r="BZ20" i="5"/>
  <c r="BZ30" i="5" s="1"/>
  <c r="BZ31" i="5" s="1"/>
  <c r="N12" i="13"/>
  <c r="L40" i="13"/>
  <c r="N40" i="13" s="1"/>
  <c r="F75" i="13"/>
  <c r="F80" i="13" s="1"/>
  <c r="CB5" i="5"/>
  <c r="H5" i="10"/>
  <c r="CB9" i="5"/>
  <c r="CB13" i="5"/>
  <c r="BX19" i="5"/>
  <c r="BX28" i="5" s="1"/>
  <c r="BX29" i="5" s="1"/>
  <c r="BN13" i="5"/>
  <c r="BX9" i="5"/>
  <c r="BP28" i="5"/>
  <c r="BP29" i="5" s="1"/>
  <c r="BL9" i="5"/>
  <c r="BX5" i="5"/>
  <c r="BL5" i="5"/>
  <c r="CA26" i="5"/>
  <c r="CA27" i="5" s="1"/>
  <c r="L12" i="12" s="1"/>
  <c r="CI26" i="5"/>
  <c r="CI27" i="5" s="1"/>
  <c r="BC15" i="5"/>
  <c r="CD26" i="5"/>
  <c r="CD27" i="5" s="1"/>
  <c r="BK26" i="5"/>
  <c r="BK27" i="5" s="1"/>
  <c r="BC5" i="5"/>
  <c r="BR26" i="5"/>
  <c r="BR27" i="5" s="1"/>
  <c r="CB10" i="5"/>
  <c r="BS26" i="5"/>
  <c r="BS27" i="5" s="1"/>
  <c r="BY26" i="5"/>
  <c r="BY27" i="5" s="1"/>
  <c r="BN5" i="5"/>
  <c r="BZ5" i="5" s="1"/>
  <c r="BG26" i="5"/>
  <c r="BG27" i="5" s="1"/>
  <c r="BW26" i="5"/>
  <c r="BW27" i="5" s="1"/>
  <c r="BC13" i="5"/>
  <c r="BB17" i="5"/>
  <c r="BN17" i="5"/>
  <c r="BL10" i="5"/>
  <c r="BJ26" i="5"/>
  <c r="BJ27" i="5" s="1"/>
  <c r="BC17" i="5"/>
  <c r="BO17" i="5"/>
  <c r="BE26" i="5"/>
  <c r="BE27" i="5" s="1"/>
  <c r="CB23" i="5"/>
  <c r="BB9" i="5"/>
  <c r="BN9" i="5"/>
  <c r="BN10" i="5"/>
  <c r="BB10" i="5"/>
  <c r="BO9" i="5"/>
  <c r="BC9" i="5"/>
  <c r="AV26" i="5"/>
  <c r="AV27" i="5" s="1"/>
  <c r="AZ26" i="5"/>
  <c r="AZ27" i="5" s="1"/>
  <c r="E6" i="10" s="1"/>
  <c r="CF26" i="5"/>
  <c r="CF27" i="5" s="1"/>
  <c r="BN16" i="5"/>
  <c r="BZ16" i="5" s="1"/>
  <c r="BC8" i="5"/>
  <c r="BX10" i="5"/>
  <c r="BN11" i="5"/>
  <c r="CB7" i="5"/>
  <c r="BX7" i="5"/>
  <c r="CB8" i="5"/>
  <c r="BX8" i="5"/>
  <c r="CB15" i="5"/>
  <c r="BX15" i="5"/>
  <c r="BP26" i="5"/>
  <c r="BP27" i="5" s="1"/>
  <c r="BX2" i="5"/>
  <c r="CB2" i="5"/>
  <c r="AU26" i="5"/>
  <c r="AU27" i="5" s="1"/>
  <c r="BD26" i="5"/>
  <c r="BD27" i="5" s="1"/>
  <c r="BL2" i="5"/>
  <c r="BT26" i="5"/>
  <c r="BT27" i="5" s="1"/>
  <c r="CE26" i="5"/>
  <c r="CE27" i="5" s="1"/>
  <c r="BL16" i="5"/>
  <c r="BN8" i="5"/>
  <c r="BZ8" i="5" s="1"/>
  <c r="BO7" i="5"/>
  <c r="BB23" i="5"/>
  <c r="BB30" i="5" s="1"/>
  <c r="BB31" i="5" s="1"/>
  <c r="AA39" i="12"/>
  <c r="J39" i="12"/>
  <c r="BN15" i="5"/>
  <c r="BZ15" i="5" s="1"/>
  <c r="BH26" i="5"/>
  <c r="BH27" i="5" s="1"/>
  <c r="CK26" i="5"/>
  <c r="CK27" i="5" s="1"/>
  <c r="BM26" i="5"/>
  <c r="BM27" i="5" s="1"/>
  <c r="BF26" i="5"/>
  <c r="BF27" i="5" s="1"/>
  <c r="BN2" i="5"/>
  <c r="F10" i="12"/>
  <c r="D4" i="10"/>
  <c r="BQ26" i="5"/>
  <c r="BQ27" i="5" s="1"/>
  <c r="BB7" i="5"/>
  <c r="CB12" i="5"/>
  <c r="BX12" i="5"/>
  <c r="BL15" i="5"/>
  <c r="CB4" i="5"/>
  <c r="BX4" i="5"/>
  <c r="AY26" i="5"/>
  <c r="AY27" i="5" s="1"/>
  <c r="BO2" i="5"/>
  <c r="BU26" i="5"/>
  <c r="BU27" i="5" s="1"/>
  <c r="BC16" i="5"/>
  <c r="CB20" i="5"/>
  <c r="BX20" i="5"/>
  <c r="BL7" i="5"/>
  <c r="BO23" i="5"/>
  <c r="BO30" i="5" s="1"/>
  <c r="BO31" i="5" s="1"/>
  <c r="BA26" i="5"/>
  <c r="BA27" i="5" s="1"/>
  <c r="BC2" i="5"/>
  <c r="BV26" i="5"/>
  <c r="BV27" i="5" s="1"/>
  <c r="CC26" i="5"/>
  <c r="CC27" i="5" s="1"/>
  <c r="CG26" i="5"/>
  <c r="CG27" i="5" s="1"/>
  <c r="BI26" i="5"/>
  <c r="BI27" i="5" s="1"/>
  <c r="F12" i="12"/>
  <c r="F40" i="12" s="1"/>
  <c r="D6" i="10"/>
  <c r="CB16" i="5"/>
  <c r="BX16" i="5"/>
  <c r="BL8" i="5"/>
  <c r="F75" i="12"/>
  <c r="F80" i="12" s="1"/>
  <c r="D14" i="7"/>
  <c r="M12" i="14" l="1"/>
  <c r="M40" i="14" s="1"/>
  <c r="M40" i="15"/>
  <c r="N12" i="15"/>
  <c r="L40" i="15"/>
  <c r="F28" i="10"/>
  <c r="BZ19" i="5"/>
  <c r="BZ28" i="5" s="1"/>
  <c r="BZ29" i="5" s="1"/>
  <c r="J15" i="10" s="1"/>
  <c r="I38" i="15"/>
  <c r="H38" i="15"/>
  <c r="J10" i="15"/>
  <c r="L13" i="15"/>
  <c r="L38" i="15"/>
  <c r="L12" i="14"/>
  <c r="J28" i="10"/>
  <c r="I12" i="14"/>
  <c r="I40" i="14" s="1"/>
  <c r="I40" i="15"/>
  <c r="BX30" i="5"/>
  <c r="BX31" i="5" s="1"/>
  <c r="BN28" i="5"/>
  <c r="BN29" i="5" s="1"/>
  <c r="BO26" i="5"/>
  <c r="BO27" i="5" s="1"/>
  <c r="CB30" i="5"/>
  <c r="CB31" i="5" s="1"/>
  <c r="G12" i="12"/>
  <c r="L17" i="10"/>
  <c r="D7" i="10"/>
  <c r="D10" i="10" s="1"/>
  <c r="K28" i="10"/>
  <c r="H17" i="10"/>
  <c r="E18" i="10"/>
  <c r="H12" i="14"/>
  <c r="J12" i="14" s="1"/>
  <c r="G28" i="10"/>
  <c r="AX39" i="5"/>
  <c r="AX43" i="5"/>
  <c r="AX41" i="5"/>
  <c r="J10" i="11" s="1"/>
  <c r="AV42" i="5"/>
  <c r="AY42" i="5"/>
  <c r="AW43" i="5"/>
  <c r="E28" i="10"/>
  <c r="AZ41" i="5"/>
  <c r="L10" i="11" s="1"/>
  <c r="AZ39" i="5"/>
  <c r="AZ43" i="5"/>
  <c r="BA41" i="5"/>
  <c r="M10" i="11" s="1"/>
  <c r="BA43" i="5"/>
  <c r="BA39" i="5"/>
  <c r="AW41" i="5"/>
  <c r="I10" i="11" s="1"/>
  <c r="AW39" i="5"/>
  <c r="G15" i="10"/>
  <c r="G18" i="10" s="1"/>
  <c r="E26" i="10"/>
  <c r="N12" i="14"/>
  <c r="L40" i="14"/>
  <c r="N40" i="14" s="1"/>
  <c r="D29" i="10"/>
  <c r="D32" i="10" s="1"/>
  <c r="F13" i="14"/>
  <c r="F16" i="14" s="1"/>
  <c r="F38" i="14"/>
  <c r="F41" i="14" s="1"/>
  <c r="J26" i="10"/>
  <c r="L10" i="14"/>
  <c r="K10" i="14"/>
  <c r="I26" i="10"/>
  <c r="G26" i="10"/>
  <c r="I10" i="14"/>
  <c r="AA45" i="14"/>
  <c r="AC45" i="14" s="1"/>
  <c r="AC39" i="14"/>
  <c r="G40" i="14"/>
  <c r="H10" i="14"/>
  <c r="H38" i="14" s="1"/>
  <c r="F26" i="10"/>
  <c r="F13" i="13"/>
  <c r="F16" i="13" s="1"/>
  <c r="F38" i="13"/>
  <c r="F41" i="13" s="1"/>
  <c r="G13" i="13"/>
  <c r="G38" i="13"/>
  <c r="AA10" i="13"/>
  <c r="D18" i="10"/>
  <c r="D21" i="10" s="1"/>
  <c r="G13" i="14"/>
  <c r="G38" i="14"/>
  <c r="AA10" i="14"/>
  <c r="I38" i="13"/>
  <c r="I13" i="13"/>
  <c r="H40" i="13"/>
  <c r="J40" i="13" s="1"/>
  <c r="J12" i="13"/>
  <c r="F18" i="10"/>
  <c r="J10" i="13"/>
  <c r="H38" i="13"/>
  <c r="H13" i="13"/>
  <c r="BB26" i="5"/>
  <c r="BB27" i="5" s="1"/>
  <c r="F4" i="10" s="1"/>
  <c r="BC26" i="5"/>
  <c r="BC27" i="5" s="1"/>
  <c r="H12" i="12" s="1"/>
  <c r="H40" i="12" s="1"/>
  <c r="J6" i="10"/>
  <c r="BZ9" i="5"/>
  <c r="BZ17" i="5"/>
  <c r="BL26" i="5"/>
  <c r="BL27" i="5" s="1"/>
  <c r="G4" i="10" s="1"/>
  <c r="BZ7" i="5"/>
  <c r="BZ10" i="5"/>
  <c r="G40" i="12"/>
  <c r="BN26" i="5"/>
  <c r="BN27" i="5" s="1"/>
  <c r="BZ2" i="5"/>
  <c r="AC39" i="12"/>
  <c r="AA45" i="12"/>
  <c r="AC45" i="12" s="1"/>
  <c r="G10" i="12"/>
  <c r="E4" i="10"/>
  <c r="L40" i="12"/>
  <c r="I4" i="10"/>
  <c r="K10" i="12"/>
  <c r="I12" i="12"/>
  <c r="I40" i="12" s="1"/>
  <c r="G6" i="10"/>
  <c r="CB26" i="5"/>
  <c r="CB27" i="5" s="1"/>
  <c r="M12" i="12"/>
  <c r="M40" i="12" s="1"/>
  <c r="K6" i="10"/>
  <c r="BX26" i="5"/>
  <c r="BX27" i="5" s="1"/>
  <c r="F13" i="12"/>
  <c r="F16" i="12" s="1"/>
  <c r="F38" i="12"/>
  <c r="F41" i="12" s="1"/>
  <c r="AB10" i="9"/>
  <c r="AW40" i="5" l="1"/>
  <c r="I8" i="11"/>
  <c r="L10" i="13"/>
  <c r="AW44" i="5"/>
  <c r="I13" i="11" s="1"/>
  <c r="I12" i="11"/>
  <c r="J12" i="15"/>
  <c r="H40" i="15"/>
  <c r="J40" i="15" s="1"/>
  <c r="L28" i="10"/>
  <c r="H13" i="15"/>
  <c r="N40" i="15"/>
  <c r="L41" i="15"/>
  <c r="G29" i="10"/>
  <c r="J38" i="15"/>
  <c r="G7" i="10"/>
  <c r="AZ44" i="5"/>
  <c r="L13" i="11" s="1"/>
  <c r="L12" i="11"/>
  <c r="I41" i="15"/>
  <c r="F29" i="10"/>
  <c r="AZ40" i="5"/>
  <c r="L8" i="11"/>
  <c r="I13" i="15"/>
  <c r="BA44" i="5"/>
  <c r="M13" i="11" s="1"/>
  <c r="M12" i="11"/>
  <c r="BA40" i="5"/>
  <c r="M8" i="11"/>
  <c r="AX40" i="5"/>
  <c r="J8" i="11"/>
  <c r="AX44" i="5"/>
  <c r="J13" i="11" s="1"/>
  <c r="J12" i="11"/>
  <c r="H40" i="14"/>
  <c r="H41" i="14" s="1"/>
  <c r="H28" i="10"/>
  <c r="H15" i="10"/>
  <c r="E29" i="10"/>
  <c r="AX42" i="5"/>
  <c r="J11" i="11" s="1"/>
  <c r="AZ42" i="5"/>
  <c r="L11" i="11" s="1"/>
  <c r="BA42" i="5"/>
  <c r="M11" i="11" s="1"/>
  <c r="AW42" i="5"/>
  <c r="I11" i="11" s="1"/>
  <c r="L6" i="10"/>
  <c r="BZ26" i="5"/>
  <c r="BZ27" i="5" s="1"/>
  <c r="J4" i="10" s="1"/>
  <c r="G41" i="14"/>
  <c r="AA38" i="14"/>
  <c r="F43" i="13"/>
  <c r="F44" i="13"/>
  <c r="F45" i="13"/>
  <c r="L38" i="14"/>
  <c r="L13" i="14"/>
  <c r="J29" i="10"/>
  <c r="H13" i="14"/>
  <c r="F43" i="14"/>
  <c r="F44" i="14"/>
  <c r="F45" i="14"/>
  <c r="AA38" i="13"/>
  <c r="AA44" i="13" s="1"/>
  <c r="G41" i="13"/>
  <c r="I13" i="14"/>
  <c r="I38" i="14"/>
  <c r="J10" i="14"/>
  <c r="H26" i="10"/>
  <c r="H29" i="10"/>
  <c r="F31" i="10" s="1"/>
  <c r="F32" i="10" s="1"/>
  <c r="H18" i="10"/>
  <c r="E20" i="10" s="1"/>
  <c r="I41" i="13"/>
  <c r="H41" i="13"/>
  <c r="J38" i="13"/>
  <c r="J41" i="13" s="1"/>
  <c r="J13" i="13"/>
  <c r="G15" i="13" s="1"/>
  <c r="L38" i="13"/>
  <c r="L13" i="13"/>
  <c r="J18" i="10"/>
  <c r="H10" i="12"/>
  <c r="H13" i="12" s="1"/>
  <c r="F6" i="10"/>
  <c r="H6" i="10" s="1"/>
  <c r="N40" i="12"/>
  <c r="N12" i="12"/>
  <c r="I10" i="12"/>
  <c r="I38" i="12" s="1"/>
  <c r="J40" i="12"/>
  <c r="E7" i="10"/>
  <c r="H4" i="10"/>
  <c r="J12" i="12"/>
  <c r="G13" i="12"/>
  <c r="G38" i="12"/>
  <c r="AA10" i="12"/>
  <c r="F43" i="12"/>
  <c r="F44" i="12"/>
  <c r="F45" i="12"/>
  <c r="AA11" i="9"/>
  <c r="AC11" i="9"/>
  <c r="AA10" i="9"/>
  <c r="AZ46" i="5" l="1"/>
  <c r="L9" i="11"/>
  <c r="H41" i="15"/>
  <c r="J41" i="15"/>
  <c r="G51" i="15" s="1"/>
  <c r="J13" i="15"/>
  <c r="G15" i="15" s="1"/>
  <c r="AW46" i="5"/>
  <c r="I9" i="11"/>
  <c r="BA46" i="5"/>
  <c r="M9" i="11"/>
  <c r="AX46" i="5"/>
  <c r="J9" i="11"/>
  <c r="J40" i="14"/>
  <c r="H51" i="13"/>
  <c r="H43" i="13" s="1"/>
  <c r="H15" i="13"/>
  <c r="H16" i="13" s="1"/>
  <c r="I51" i="13"/>
  <c r="L10" i="12"/>
  <c r="L38" i="12" s="1"/>
  <c r="I41" i="14"/>
  <c r="J13" i="14"/>
  <c r="G15" i="14" s="1"/>
  <c r="E31" i="10"/>
  <c r="AA44" i="14"/>
  <c r="F7" i="10"/>
  <c r="H7" i="10" s="1"/>
  <c r="F9" i="10" s="1"/>
  <c r="F10" i="10" s="1"/>
  <c r="L41" i="14"/>
  <c r="J38" i="14"/>
  <c r="G51" i="13"/>
  <c r="G52" i="13" s="1"/>
  <c r="G56" i="13" s="1"/>
  <c r="G60" i="13" s="1"/>
  <c r="F20" i="10"/>
  <c r="F21" i="10" s="1"/>
  <c r="G16" i="13"/>
  <c r="I15" i="13"/>
  <c r="I16" i="13" s="1"/>
  <c r="G20" i="10"/>
  <c r="G21" i="10" s="1"/>
  <c r="E21" i="10"/>
  <c r="I52" i="13"/>
  <c r="I56" i="13" s="1"/>
  <c r="I60" i="13" s="1"/>
  <c r="I43" i="13"/>
  <c r="H38" i="12"/>
  <c r="H41" i="12" s="1"/>
  <c r="L41" i="13"/>
  <c r="I13" i="12"/>
  <c r="J13" i="12" s="1"/>
  <c r="H15" i="12" s="1"/>
  <c r="H16" i="12" s="1"/>
  <c r="J10" i="12"/>
  <c r="G41" i="12"/>
  <c r="AA38" i="12"/>
  <c r="I41" i="12"/>
  <c r="J7" i="10"/>
  <c r="L13" i="12"/>
  <c r="AC10" i="9"/>
  <c r="G43" i="15" l="1"/>
  <c r="G52" i="15"/>
  <c r="G56" i="15" s="1"/>
  <c r="G60" i="15" s="1"/>
  <c r="I51" i="15"/>
  <c r="H51" i="15"/>
  <c r="J51" i="15" s="1"/>
  <c r="J52" i="15" s="1"/>
  <c r="J56" i="15" s="1"/>
  <c r="J60" i="15" s="1"/>
  <c r="J41" i="14"/>
  <c r="G51" i="14" s="1"/>
  <c r="G16" i="15"/>
  <c r="I15" i="15"/>
  <c r="I16" i="15" s="1"/>
  <c r="H15" i="15"/>
  <c r="H16" i="15" s="1"/>
  <c r="H52" i="13"/>
  <c r="H56" i="13" s="1"/>
  <c r="H60" i="13" s="1"/>
  <c r="I15" i="11"/>
  <c r="AW54" i="5"/>
  <c r="I23" i="11" s="1"/>
  <c r="AZ54" i="5"/>
  <c r="L23" i="11" s="1"/>
  <c r="L15" i="11"/>
  <c r="M15" i="11"/>
  <c r="BA54" i="5"/>
  <c r="M23" i="11" s="1"/>
  <c r="AX54" i="5"/>
  <c r="J23" i="11" s="1"/>
  <c r="J15" i="11"/>
  <c r="G43" i="13"/>
  <c r="J43" i="13" s="1"/>
  <c r="J51" i="13"/>
  <c r="J52" i="13" s="1"/>
  <c r="J56" i="13" s="1"/>
  <c r="J60" i="13" s="1"/>
  <c r="J67" i="13" s="1"/>
  <c r="M72" i="13" s="1"/>
  <c r="J15" i="13"/>
  <c r="J16" i="13" s="1"/>
  <c r="L16" i="13" s="1"/>
  <c r="G31" i="10"/>
  <c r="G32" i="10" s="1"/>
  <c r="E32" i="10"/>
  <c r="G16" i="14"/>
  <c r="I15" i="14"/>
  <c r="I16" i="14" s="1"/>
  <c r="H15" i="14"/>
  <c r="H16" i="14" s="1"/>
  <c r="H20" i="10"/>
  <c r="H21" i="10" s="1"/>
  <c r="I51" i="14"/>
  <c r="G67" i="13"/>
  <c r="G44" i="13"/>
  <c r="J38" i="12"/>
  <c r="J41" i="12" s="1"/>
  <c r="H51" i="12" s="1"/>
  <c r="H43" i="12" s="1"/>
  <c r="I67" i="13"/>
  <c r="I44" i="13"/>
  <c r="J21" i="10"/>
  <c r="H44" i="13"/>
  <c r="H67" i="13"/>
  <c r="G15" i="12"/>
  <c r="I15" i="12" s="1"/>
  <c r="I16" i="12" s="1"/>
  <c r="E9" i="10"/>
  <c r="AA44" i="12"/>
  <c r="L41" i="12"/>
  <c r="E73" i="9"/>
  <c r="E72" i="9"/>
  <c r="H52" i="15" l="1"/>
  <c r="H56" i="15" s="1"/>
  <c r="H60" i="15" s="1"/>
  <c r="H43" i="15"/>
  <c r="J15" i="15"/>
  <c r="J16" i="15" s="1"/>
  <c r="H51" i="14"/>
  <c r="I52" i="15"/>
  <c r="I56" i="15" s="1"/>
  <c r="I60" i="15" s="1"/>
  <c r="I43" i="15"/>
  <c r="J43" i="15" s="1"/>
  <c r="K43" i="15" s="1"/>
  <c r="J67" i="15"/>
  <c r="G44" i="15"/>
  <c r="G67" i="15"/>
  <c r="H31" i="10"/>
  <c r="H32" i="10" s="1"/>
  <c r="O72" i="13"/>
  <c r="G73" i="13"/>
  <c r="I73" i="13" s="1"/>
  <c r="J73" i="13" s="1"/>
  <c r="H68" i="13"/>
  <c r="J68" i="13" s="1"/>
  <c r="K43" i="13"/>
  <c r="G72" i="13"/>
  <c r="I51" i="12"/>
  <c r="I52" i="12" s="1"/>
  <c r="I56" i="12" s="1"/>
  <c r="I60" i="12" s="1"/>
  <c r="J15" i="14"/>
  <c r="J16" i="14" s="1"/>
  <c r="J32" i="10" s="1"/>
  <c r="H52" i="12"/>
  <c r="H56" i="12" s="1"/>
  <c r="H60" i="12" s="1"/>
  <c r="H67" i="12" s="1"/>
  <c r="G51" i="12"/>
  <c r="G52" i="12" s="1"/>
  <c r="G56" i="12" s="1"/>
  <c r="G60" i="12" s="1"/>
  <c r="G44" i="12" s="1"/>
  <c r="G43" i="14"/>
  <c r="J51" i="14"/>
  <c r="J52" i="14" s="1"/>
  <c r="J56" i="14" s="1"/>
  <c r="J60" i="14" s="1"/>
  <c r="G52" i="14"/>
  <c r="G56" i="14" s="1"/>
  <c r="G60" i="14" s="1"/>
  <c r="L16" i="14"/>
  <c r="G16" i="12"/>
  <c r="I52" i="14"/>
  <c r="I56" i="14" s="1"/>
  <c r="I60" i="14" s="1"/>
  <c r="I43" i="14"/>
  <c r="H43" i="14"/>
  <c r="H52" i="14"/>
  <c r="H56" i="14" s="1"/>
  <c r="H60" i="14" s="1"/>
  <c r="I45" i="13"/>
  <c r="G43" i="12"/>
  <c r="H45" i="13"/>
  <c r="J44" i="13"/>
  <c r="K44" i="13" s="1"/>
  <c r="G45" i="13"/>
  <c r="J15" i="12"/>
  <c r="J16" i="12" s="1"/>
  <c r="L16" i="12" s="1"/>
  <c r="G9" i="10"/>
  <c r="G10" i="10" s="1"/>
  <c r="E10" i="10"/>
  <c r="H44" i="12"/>
  <c r="J79" i="9"/>
  <c r="J78" i="9"/>
  <c r="J77" i="9"/>
  <c r="G72" i="15" l="1"/>
  <c r="H68" i="15"/>
  <c r="J68" i="15" s="1"/>
  <c r="G73" i="15"/>
  <c r="G75" i="15" s="1"/>
  <c r="G80" i="15" s="1"/>
  <c r="O72" i="15"/>
  <c r="M72" i="15"/>
  <c r="I44" i="15"/>
  <c r="I67" i="15"/>
  <c r="G45" i="15"/>
  <c r="H44" i="15"/>
  <c r="J44" i="15" s="1"/>
  <c r="K44" i="15" s="1"/>
  <c r="H67" i="15"/>
  <c r="H75" i="13"/>
  <c r="H80" i="13" s="1"/>
  <c r="G75" i="13"/>
  <c r="G80" i="13" s="1"/>
  <c r="G67" i="12"/>
  <c r="J51" i="12"/>
  <c r="J52" i="12" s="1"/>
  <c r="J56" i="12" s="1"/>
  <c r="J60" i="12" s="1"/>
  <c r="J67" i="12" s="1"/>
  <c r="M72" i="12" s="1"/>
  <c r="I43" i="12"/>
  <c r="J43" i="12" s="1"/>
  <c r="J10" i="10"/>
  <c r="I44" i="14"/>
  <c r="I67" i="14"/>
  <c r="G44" i="14"/>
  <c r="G67" i="14"/>
  <c r="H44" i="14"/>
  <c r="H67" i="14"/>
  <c r="J67" i="14"/>
  <c r="J43" i="14"/>
  <c r="K43" i="14" s="1"/>
  <c r="J45" i="13"/>
  <c r="H9" i="10"/>
  <c r="H10" i="10" s="1"/>
  <c r="I67" i="12"/>
  <c r="I44" i="12"/>
  <c r="J44" i="12" s="1"/>
  <c r="H45" i="12"/>
  <c r="G45" i="12"/>
  <c r="H63" i="9"/>
  <c r="H45" i="15" l="1"/>
  <c r="H75" i="15"/>
  <c r="H80" i="15" s="1"/>
  <c r="K43" i="12"/>
  <c r="I73" i="15"/>
  <c r="J73" i="15" s="1"/>
  <c r="I45" i="15"/>
  <c r="I72" i="15"/>
  <c r="J72" i="15" s="1"/>
  <c r="K44" i="12"/>
  <c r="J44" i="14"/>
  <c r="K44" i="14" s="1"/>
  <c r="G72" i="12"/>
  <c r="G73" i="12"/>
  <c r="I73" i="12" s="1"/>
  <c r="J73" i="12" s="1"/>
  <c r="H68" i="12"/>
  <c r="O72" i="12"/>
  <c r="G45" i="14"/>
  <c r="M72" i="14"/>
  <c r="H68" i="14"/>
  <c r="J68" i="14" s="1"/>
  <c r="G72" i="14"/>
  <c r="G73" i="14"/>
  <c r="I73" i="14" s="1"/>
  <c r="J73" i="14" s="1"/>
  <c r="O72" i="14"/>
  <c r="H45" i="14"/>
  <c r="I45" i="14"/>
  <c r="K46" i="13"/>
  <c r="K45" i="13"/>
  <c r="I45" i="12"/>
  <c r="J45" i="12" s="1"/>
  <c r="K8" i="9"/>
  <c r="J45" i="15" l="1"/>
  <c r="K46" i="15" s="1"/>
  <c r="K45" i="15"/>
  <c r="J68" i="12"/>
  <c r="H75" i="12"/>
  <c r="H80" i="12" s="1"/>
  <c r="G75" i="12"/>
  <c r="G80" i="12" s="1"/>
  <c r="G75" i="14"/>
  <c r="G80" i="14" s="1"/>
  <c r="H75" i="14"/>
  <c r="H80" i="14" s="1"/>
  <c r="J45" i="14"/>
  <c r="K46" i="12"/>
  <c r="K45" i="12"/>
  <c r="I35" i="9"/>
  <c r="G63" i="9"/>
  <c r="I63" i="9" s="1"/>
  <c r="K46" i="14" l="1"/>
  <c r="K45" i="14"/>
  <c r="K50" i="9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J72" i="13" s="1"/>
  <c r="I72" i="12"/>
  <c r="J72" i="12" s="1"/>
  <c r="I72" i="14"/>
  <c r="J72" i="14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8" i="5" l="1"/>
  <c r="CJ8" i="5" s="1"/>
  <c r="CH16" i="5"/>
  <c r="CJ16" i="5" s="1"/>
  <c r="CH2" i="5"/>
  <c r="CH9" i="5"/>
  <c r="CJ9" i="5" s="1"/>
  <c r="CH17" i="5"/>
  <c r="CJ17" i="5" s="1"/>
  <c r="CH7" i="5"/>
  <c r="CJ7" i="5" s="1"/>
  <c r="CH10" i="5"/>
  <c r="CJ10" i="5" s="1"/>
  <c r="CH18" i="5"/>
  <c r="CJ18" i="5" s="1"/>
  <c r="CH15" i="5"/>
  <c r="CJ15" i="5" s="1"/>
  <c r="CH3" i="5"/>
  <c r="CJ3" i="5" s="1"/>
  <c r="CH19" i="5"/>
  <c r="CH4" i="5"/>
  <c r="CJ4" i="5" s="1"/>
  <c r="CH12" i="5"/>
  <c r="CJ12" i="5" s="1"/>
  <c r="CH20" i="5"/>
  <c r="CH5" i="5"/>
  <c r="CJ5" i="5" s="1"/>
  <c r="CH21" i="5"/>
  <c r="CJ21" i="5" s="1"/>
  <c r="CH6" i="5"/>
  <c r="CJ6" i="5" s="1"/>
  <c r="CH14" i="5"/>
  <c r="CJ14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20" i="5" l="1"/>
  <c r="CJ30" i="5" s="1"/>
  <c r="CJ31" i="5" s="1"/>
  <c r="CH30" i="5"/>
  <c r="CH31" i="5" s="1"/>
  <c r="CJ19" i="5"/>
  <c r="CJ28" i="5" s="1"/>
  <c r="CJ29" i="5" s="1"/>
  <c r="CH28" i="5"/>
  <c r="CH29" i="5" s="1"/>
  <c r="CJ2" i="5"/>
  <c r="CJ26" i="5" s="1"/>
  <c r="CJ27" i="5" s="1"/>
  <c r="CH26" i="5"/>
  <c r="CH27" i="5" s="1"/>
  <c r="F80" i="9"/>
  <c r="F45" i="9"/>
  <c r="N22" i="9"/>
  <c r="N21" i="9"/>
  <c r="H51" i="9"/>
  <c r="H43" i="9" s="1"/>
  <c r="I51" i="9"/>
  <c r="I43" i="9" s="1"/>
  <c r="M13" i="15" l="1"/>
  <c r="M38" i="15"/>
  <c r="N10" i="15"/>
  <c r="N13" i="15" s="1"/>
  <c r="AB10" i="15"/>
  <c r="AC10" i="15" s="1"/>
  <c r="M10" i="14"/>
  <c r="K26" i="10"/>
  <c r="K15" i="10"/>
  <c r="M10" i="13"/>
  <c r="M10" i="12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M41" i="15" l="1"/>
  <c r="N38" i="15"/>
  <c r="AB38" i="15"/>
  <c r="K29" i="10"/>
  <c r="L26" i="10"/>
  <c r="L29" i="10" s="1"/>
  <c r="M38" i="14"/>
  <c r="M13" i="14"/>
  <c r="N10" i="14"/>
  <c r="N13" i="14" s="1"/>
  <c r="AB10" i="14"/>
  <c r="AC10" i="14" s="1"/>
  <c r="M38" i="13"/>
  <c r="M13" i="13"/>
  <c r="AB10" i="13"/>
  <c r="AC10" i="13" s="1"/>
  <c r="N10" i="13"/>
  <c r="N13" i="13" s="1"/>
  <c r="K18" i="10"/>
  <c r="L15" i="10"/>
  <c r="L18" i="10" s="1"/>
  <c r="K7" i="10"/>
  <c r="L4" i="10"/>
  <c r="L7" i="10" s="1"/>
  <c r="M38" i="12"/>
  <c r="M13" i="12"/>
  <c r="AB10" i="12"/>
  <c r="AC10" i="12" s="1"/>
  <c r="N10" i="12"/>
  <c r="N13" i="12" s="1"/>
  <c r="N41" i="9"/>
  <c r="N38" i="9"/>
  <c r="J43" i="9"/>
  <c r="K43" i="9" s="1"/>
  <c r="I67" i="9"/>
  <c r="I45" i="9" s="1"/>
  <c r="N41" i="15" l="1"/>
  <c r="I69" i="15"/>
  <c r="AB44" i="15"/>
  <c r="AC44" i="15" s="1"/>
  <c r="AC38" i="15"/>
  <c r="M41" i="14"/>
  <c r="N38" i="14"/>
  <c r="AB38" i="14"/>
  <c r="M41" i="13"/>
  <c r="AB38" i="13"/>
  <c r="N38" i="13"/>
  <c r="M41" i="12"/>
  <c r="AB38" i="12"/>
  <c r="N38" i="12"/>
  <c r="J44" i="9"/>
  <c r="K44" i="9" s="1"/>
  <c r="J69" i="15" l="1"/>
  <c r="J75" i="15" s="1"/>
  <c r="J80" i="15" s="1"/>
  <c r="I75" i="15"/>
  <c r="I80" i="15" s="1"/>
  <c r="AB44" i="14"/>
  <c r="AC44" i="14" s="1"/>
  <c r="AC38" i="14"/>
  <c r="N41" i="14"/>
  <c r="I69" i="14"/>
  <c r="AB44" i="13"/>
  <c r="AC44" i="13" s="1"/>
  <c r="AC38" i="13"/>
  <c r="N41" i="13"/>
  <c r="I69" i="13"/>
  <c r="AB44" i="12"/>
  <c r="AC44" i="12" s="1"/>
  <c r="AC38" i="12"/>
  <c r="N41" i="12"/>
  <c r="I69" i="12"/>
  <c r="J67" i="9"/>
  <c r="J69" i="14" l="1"/>
  <c r="J75" i="14" s="1"/>
  <c r="J80" i="14" s="1"/>
  <c r="I75" i="14"/>
  <c r="I80" i="14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DD43B12-78C7-4639-BAB1-527D1607EE2F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8358846-5FFA-4382-A1D8-C053C88CFED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75E5C6D-0A60-44B9-BDC8-DC94A7FE141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31CB246-FEC0-427D-85E0-1FF5361371A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A5AF103-1685-419C-975A-859FDF656343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ED0B7861-CE69-4FC2-8E80-EF729F1919FE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2B132B9-AA78-4EBF-8709-6BC4BA81738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D73D8C4D-4B78-444C-8986-C2C3E18FAAA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DDE6EAF-A6F9-4896-903F-E753E9D7143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5B8B5D1-1439-4187-AA18-0482D4DA6EC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BC587F84-18B1-4626-B40C-F195C7BC06E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BB387DE-9593-41A2-A80E-B0003C7E69A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F1790C4-BBBF-4BD2-947A-D278E4053F7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C3D3677-AF7F-4F9C-B293-A874EF7CD1E7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70E8AF1-DEA8-412C-ADB1-405D6092B27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E037C45-A4A8-4639-870A-C39693FF50A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5FF94FC-0553-44DB-84AC-ED437EFDCBF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8B9F0AFE-A42C-4F9C-B012-D8A70CC91E9B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9122EFA-BBA9-471D-9064-BBB61BD4B98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EC1783B-D5BB-4DFF-AEB2-B825703A05A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2D92352-9E56-4522-9513-66F7FE20852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94F2635-5F2F-4382-B78D-EDA6665F4FF7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7C36D0D8-6BA1-433B-A094-8FFB8B76DC6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490059B-3280-4142-AE98-52FC21572032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9244C65D-4716-49E6-9E38-8EEA44E49AB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5AAD5819-240D-4AA8-96B5-B8B8A818E6C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85071DF-C82C-4926-85D2-990190E2AF5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622DDA7-19E0-41FE-A821-0DFF35BB597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79A29AA-76D0-48D5-82DC-D8954AA5DCA2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72488B7-9CC0-4A33-9FD9-C93FBE2605C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0AEAC1A-1FFA-4901-9198-C59A774E79E7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FD29B5F-AC52-4422-BB42-6B7B2D41526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40016056-4485-44B9-B6F9-00F5C4D1BD9F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048B5DC-4030-405F-8A39-1A639B8F5BB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BDC4F3C-552E-4BC8-86A8-069B7854515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25870BC-553A-4C94-BEE1-69AB52CE8C2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666BC61E-87C2-4BE6-8991-8CE5BFF640B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B5D23A01-62B1-4373-B078-AAA5EAC1A52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D4A8097B-89D8-4E0E-BC94-C75CD70F0AE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<sst xmlns="http://schemas.openxmlformats.org/spreadsheetml/2006/main" count="1218" uniqueCount="403">
  <si>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</si>
  <si>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</si>
  <si>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</si>
  <si>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</si>
  <si>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</si>
  <si>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</si>
  <si>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</si>
  <si>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</si>
  <si>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</si>
  <si>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</si>
  <si>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</si>
  <si>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</si>
  <si>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</si>
  <si>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</si>
  <si>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</si>
  <si>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</si>
  <si>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</si>
  <si>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</si>
  <si>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</si>
  <si>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</si>
  <si>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</si>
  <si>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</si>
  <si>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</si>
  <si>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</si>
  <si>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</si>
  <si>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</si>
  <si>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</si>
  <si>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</si>
  <si>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</si>
  <si>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</si>
  <si>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</si>
  <si>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</si>
  <si>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</si>
  <si>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</si>
  <si>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</si>
  <si>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</si>
  <si>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</si>
  <si>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</si>
  <si>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</si>
  <si>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</si>
  <si>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</si>
  <si>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</si>
  <si>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</si>
  <si>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</si>
  <si>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</si>
  <si>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</si>
  <si>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</si>
  <si>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</si>
  <si>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</si>
  <si>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</si>
  <si>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</si>
  <si>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</si>
  <si>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</si>
  <si>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</si>
  <si>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</si>
  <si>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</si>
  <si>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</si>
  <si>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</si>
  <si>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</si>
  <si>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</si>
  <si>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</si>
  <si>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</si>
  <si>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</si>
  <si>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</si>
  <si>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</si>
  <si>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</si>
  <si>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</si>
  <si>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</si>
  <si>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</si>
  <si>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</si>
  <si>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</si>
  <si>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</si>
  <si>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</si>
  <si>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</si>
  <si>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</si>
  <si>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</si>
  <si>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</si>
  <si>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</si>
  <si>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</si>
  <si>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</si>
  <si>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</si>
  <si>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</si>
  <si>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</si>
  <si>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</si>
  <si>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</si>
  <si>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</si>
  <si>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</si>
  <si>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</si>
  <si>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</si>
  <si>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</si>
  <si>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</si>
  <si>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</si>
  <si>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</si>
  <si>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</si>
  <si>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</si>
  <si>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</si>
  <si>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</si>
  <si>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</si>
  <si>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</si>
  <si>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</si>
  <si>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</si>
  <si>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</si>
  <si>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</si>
  <si>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</si>
  <si>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</si>
  <si>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</si>
  <si>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</si>
  <si>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</si>
  <si>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</si>
  <si>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</si>
  <si>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</si>
  <si>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</si>
  <si>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</si>
  <si>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</si>
  <si>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</si>
  <si>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</si>
  <si>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</si>
  <si>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</si>
  <si>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</si>
  <si>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</si>
  <si>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</si>
  <si>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</si>
  <si>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</si>
  <si>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</si>
  <si>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</si>
  <si>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</si>
  <si>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</si>
  <si>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</si>
  <si>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</si>
  <si>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</si>
  <si>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</si>
  <si>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</si>
  <si>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</si>
  <si>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</si>
  <si>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</si>
  <si>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</si>
  <si>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</si>
  <si>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</si>
  <si>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</si>
  <si>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</si>
  <si>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</si>
  <si>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</si>
  <si>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</si>
  <si>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</si>
  <si>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</si>
  <si>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</si>
  <si>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</si>
  <si>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</si>
  <si>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</si>
  <si>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</si>
  <si>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</si>
  <si>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</si>
  <si>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</si>
  <si>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</si>
  <si>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</si>
  <si>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</si>
  <si>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</si>
  <si>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</si>
  <si>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</si>
  <si>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</si>
  <si>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</si>
  <si>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</si>
  <si>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</si>
  <si>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180</t>
  </si>
  <si>
    <t>3011</t>
  </si>
  <si>
    <t xml:space="preserve">ECONOMIST,CHF - DFM </t>
  </si>
  <si>
    <t>0001</t>
  </si>
  <si>
    <t>00</t>
  </si>
  <si>
    <t>GVCA</t>
  </si>
  <si>
    <t>001</t>
  </si>
  <si>
    <t>05226</t>
  </si>
  <si>
    <t>P</t>
  </si>
  <si>
    <t>F</t>
  </si>
  <si>
    <t>NR</t>
  </si>
  <si>
    <t>PIEPMEYER, GREGORY G.</t>
  </si>
  <si>
    <t>PIEPMEYER</t>
  </si>
  <si>
    <t>GREGORY</t>
  </si>
  <si>
    <t>GRANT</t>
  </si>
  <si>
    <t xml:space="preserve">HP   </t>
  </si>
  <si>
    <t>H</t>
  </si>
  <si>
    <t>FS</t>
  </si>
  <si>
    <t>E</t>
  </si>
  <si>
    <t>N</t>
  </si>
  <si>
    <t>Y</t>
  </si>
  <si>
    <t xml:space="preserve">    </t>
  </si>
  <si>
    <t>2012</t>
  </si>
  <si>
    <t>FINANCL MGMNT ANALYS</t>
  </si>
  <si>
    <t>05209</t>
  </si>
  <si>
    <t>HERRIOT, LISA B.</t>
  </si>
  <si>
    <t>HERRIOT</t>
  </si>
  <si>
    <t>LISA</t>
  </si>
  <si>
    <t>BROOKE</t>
  </si>
  <si>
    <t xml:space="preserve">HN   </t>
  </si>
  <si>
    <t>1056</t>
  </si>
  <si>
    <t>HARPER, AMANDA L.</t>
  </si>
  <si>
    <t>HARPER</t>
  </si>
  <si>
    <t>AMANDA</t>
  </si>
  <si>
    <t>LEANNE</t>
  </si>
  <si>
    <t>1027</t>
  </si>
  <si>
    <t xml:space="preserve">ECONOMIST           </t>
  </si>
  <si>
    <t>05228</t>
  </si>
  <si>
    <t>HURT, MATTHEW R.</t>
  </si>
  <si>
    <t>HURT</t>
  </si>
  <si>
    <t>MATTHEW</t>
  </si>
  <si>
    <t>RUSSELL</t>
  </si>
  <si>
    <t>6111</t>
  </si>
  <si>
    <t>FINANCL MGMT ANALYST</t>
  </si>
  <si>
    <t>20122</t>
  </si>
  <si>
    <t>HAHN, DAVID M.</t>
  </si>
  <si>
    <t>HAHN</t>
  </si>
  <si>
    <t>DAVID</t>
  </si>
  <si>
    <t>MICHAEL</t>
  </si>
  <si>
    <t xml:space="preserve">HO   </t>
  </si>
  <si>
    <t>4015</t>
  </si>
  <si>
    <t>JARVIS, ADAM B.</t>
  </si>
  <si>
    <t>JARVIS</t>
  </si>
  <si>
    <t>ADAM</t>
  </si>
  <si>
    <t>B</t>
  </si>
  <si>
    <t>4013</t>
  </si>
  <si>
    <t xml:space="preserve">BUDGET BUREAU CHIEF </t>
  </si>
  <si>
    <t>20106</t>
  </si>
  <si>
    <t>LAWRENCE, MISTY D.</t>
  </si>
  <si>
    <t>LAWRENCE</t>
  </si>
  <si>
    <t>MISTY</t>
  </si>
  <si>
    <t>DAWN</t>
  </si>
  <si>
    <t>00000</t>
  </si>
  <si>
    <t>4011</t>
  </si>
  <si>
    <t>STATE FINANCIAL OFFI</t>
  </si>
  <si>
    <t>20134</t>
  </si>
  <si>
    <t>FULKERSON, DAVID M.</t>
  </si>
  <si>
    <t>FULKERSON</t>
  </si>
  <si>
    <t>M</t>
  </si>
  <si>
    <t>4010</t>
  </si>
  <si>
    <t>FINANCIAL SPECIALIST</t>
  </si>
  <si>
    <t>04245</t>
  </si>
  <si>
    <t>L</t>
  </si>
  <si>
    <t>MARTINEZ, JASON M.</t>
  </si>
  <si>
    <t>MARTINEZ</t>
  </si>
  <si>
    <t>JASON</t>
  </si>
  <si>
    <t>MYCHAEL</t>
  </si>
  <si>
    <t xml:space="preserve">HL   </t>
  </si>
  <si>
    <t>9998</t>
  </si>
  <si>
    <t xml:space="preserve">TEMPORARY EMPLOYEES </t>
  </si>
  <si>
    <t>95000</t>
  </si>
  <si>
    <t>V</t>
  </si>
  <si>
    <t>NG</t>
  </si>
  <si>
    <t>4009</t>
  </si>
  <si>
    <t>002</t>
  </si>
  <si>
    <t>04246</t>
  </si>
  <si>
    <t>K</t>
  </si>
  <si>
    <t>CENDEJAS, YVONNE M.</t>
  </si>
  <si>
    <t>CENDEJAS</t>
  </si>
  <si>
    <t>YVONNE</t>
  </si>
  <si>
    <t>MARIE MIELKE</t>
  </si>
  <si>
    <t xml:space="preserve">HK   </t>
  </si>
  <si>
    <t>9997</t>
  </si>
  <si>
    <t xml:space="preserve">RESEARCH ANLYST     </t>
  </si>
  <si>
    <t>05451</t>
  </si>
  <si>
    <t>J</t>
  </si>
  <si>
    <t>4006</t>
  </si>
  <si>
    <t xml:space="preserve">ADMINISTRATOR-DFM   </t>
  </si>
  <si>
    <t>20103</t>
  </si>
  <si>
    <t>ADAMS, ALEX J.</t>
  </si>
  <si>
    <t>ADAMS</t>
  </si>
  <si>
    <t>ALEX</t>
  </si>
  <si>
    <t>JOSEPH</t>
  </si>
  <si>
    <t>4005</t>
  </si>
  <si>
    <t>DANIEL, SALLY J.</t>
  </si>
  <si>
    <t>DANIEL</t>
  </si>
  <si>
    <t>SALLY</t>
  </si>
  <si>
    <t>4004</t>
  </si>
  <si>
    <t>ARNOLD, THERESA R.</t>
  </si>
  <si>
    <t>ARNOLD</t>
  </si>
  <si>
    <t>THERESA</t>
  </si>
  <si>
    <t>RENEE</t>
  </si>
  <si>
    <t>3019</t>
  </si>
  <si>
    <t>OLSON, ERIK S.</t>
  </si>
  <si>
    <t>OLSON</t>
  </si>
  <si>
    <t>ERIK</t>
  </si>
  <si>
    <t>SCOTT</t>
  </si>
  <si>
    <t>3016</t>
  </si>
  <si>
    <t>VESETH, KRISTEN M.</t>
  </si>
  <si>
    <t>VESETH</t>
  </si>
  <si>
    <t>KRISTEN</t>
  </si>
  <si>
    <t>MARGARET</t>
  </si>
  <si>
    <t>0349</t>
  </si>
  <si>
    <t>1032</t>
  </si>
  <si>
    <t xml:space="preserve">ADMIN RULES SPEC    </t>
  </si>
  <si>
    <t>0475</t>
  </si>
  <si>
    <t>05</t>
  </si>
  <si>
    <t>20309</t>
  </si>
  <si>
    <t>MEDEL, LOGAN P.</t>
  </si>
  <si>
    <t>MEDEL</t>
  </si>
  <si>
    <t>LOGAN</t>
  </si>
  <si>
    <t>PETE</t>
  </si>
  <si>
    <t>1031</t>
  </si>
  <si>
    <t xml:space="preserve">ADMIN RULES COORD   </t>
  </si>
  <si>
    <t>20308</t>
  </si>
  <si>
    <t>HUNT, BRADLEY A.</t>
  </si>
  <si>
    <t>HUNT</t>
  </si>
  <si>
    <t>BRADLEY</t>
  </si>
  <si>
    <t>A</t>
  </si>
  <si>
    <t>1034</t>
  </si>
  <si>
    <t>DESKTOP PUBLSHNG SPE</t>
  </si>
  <si>
    <t>01440</t>
  </si>
  <si>
    <t>I</t>
  </si>
  <si>
    <t>1033</t>
  </si>
  <si>
    <t>LEG &amp; REG AFFAIRS BU</t>
  </si>
  <si>
    <t>20144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</si>
  <si>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</si>
  <si>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</si>
  <si>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</si>
  <si>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</si>
  <si>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</si>
  <si>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</si>
  <si>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</si>
  <si>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</si>
  <si>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</si>
  <si>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</si>
  <si>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</si>
  <si>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</si>
  <si>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</si>
  <si>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</si>
  <si>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</si>
  <si>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</si>
  <si>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</si>
  <si>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</si>
  <si>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</si>
  <si>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</si>
  <si>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</si>
  <si>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</si>
  <si>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</si>
  <si>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</si>
  <si>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</si>
  <si>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</si>
  <si>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</si>
  <si>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</si>
  <si>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</si>
  <si>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</si>
  <si>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</si>
  <si>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</si>
  <si>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</si>
  <si>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</si>
  <si>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</si>
  <si>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</si>
  <si>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</si>
  <si>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</si>
  <si>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</si>
  <si>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</si>
  <si>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</si>
  <si>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</si>
  <si>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</si>
  <si>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</si>
  <si>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</si>
  <si>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</si>
  <si>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</si>
  <si>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</si>
  <si>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GVCA 0001-00</t>
  </si>
  <si>
    <t>GVCA 0001</t>
  </si>
  <si>
    <t>Office of the Governor</t>
  </si>
  <si>
    <t>Division of Financial Management</t>
  </si>
  <si>
    <t>General</t>
  </si>
  <si>
    <t>0001-00</t>
  </si>
  <si>
    <t>10000</t>
  </si>
  <si>
    <t>Division of Financial Management, General   GVCA-0001-00</t>
  </si>
  <si>
    <t>GVCA 0349-00</t>
  </si>
  <si>
    <t>GVCA 0349</t>
  </si>
  <si>
    <t>Miscellaneous Revenue</t>
  </si>
  <si>
    <t>0349-00</t>
  </si>
  <si>
    <t>34900</t>
  </si>
  <si>
    <t>Division of Financial Management, Miscellaneous Revenue   GVCA-0349-00</t>
  </si>
  <si>
    <t>GVCA 0475-05</t>
  </si>
  <si>
    <t>GVCA 0475</t>
  </si>
  <si>
    <t>Administrative Code</t>
  </si>
  <si>
    <t>0475-05</t>
  </si>
  <si>
    <t>47505</t>
  </si>
  <si>
    <t>Division of Financial Management, Administrative Code   GVCA-0475-05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</si>
  <si>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</si>
  <si>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</si>
  <si>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</si>
  <si>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</si>
  <si>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</si>
  <si>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</si>
  <si>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</si>
  <si>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</si>
  <si>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Fund-0349</t>
  </si>
  <si>
    <t>Fund-0475</t>
  </si>
  <si>
    <t>Permanent Total</t>
  </si>
  <si>
    <t>Group</t>
  </si>
  <si>
    <t>Group Total</t>
  </si>
  <si>
    <t>Agency Fund Total</t>
  </si>
  <si>
    <t>0344-30</t>
  </si>
  <si>
    <t>34430</t>
  </si>
  <si>
    <t>ARPA - State Fiscal Recovery</t>
  </si>
  <si>
    <t>FY 2023 SALARY</t>
  </si>
  <si>
    <t>FY 2023 HEALTH BENEFITS</t>
  </si>
  <si>
    <t>FY 2023 VAR BENEFITS</t>
  </si>
  <si>
    <t>FY 2023 TOTAL</t>
  </si>
  <si>
    <t>FY 2024 SALARY CHANGE</t>
  </si>
  <si>
    <t>FY 2024 CHG HEALTH BENEFITS</t>
  </si>
  <si>
    <t>FY 2024 CHG VAR BENEFITS</t>
  </si>
  <si>
    <t>FY 2023</t>
  </si>
  <si>
    <t>Division of Financial Management, ARPA - State Fiscal Recovery   GVCA-0344-30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</si>
</sst>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91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0" fontId="36" fillId="0" borderId="0" xfId="7" applyFont="1" applyBorder="1" applyAlignment="1" applyProtection="1">
      <alignment horizontal="center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6"/>
      <tableStyleElement type="headerRow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46E8D-F161-4D2E-A27B-76F9BA988531}">
  <sheetPr codeName="Sheet6">
    <pageSetUpPr fitToPage="1"/>
  </sheetPr>
  <dimension ref="A1:CP80"/>
  <sheetViews>
    <sheetView showGridLines="0" tabSelected="1" zoomScaleNormal="100" workbookViewId="0">
      <selection activeCell="E24" sqref="E24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359</v>
      </c>
      <c r="E1" s="15"/>
      <c r="F1" s="15"/>
      <c r="G1" s="15"/>
      <c r="H1" s="15"/>
      <c r="I1" s="15"/>
      <c r="J1" s="15"/>
      <c r="K1" s="15"/>
      <c r="L1" s="16" t="s">
        <v>14</v>
      </c>
      <c r="M1" s="416">
        <v>180</v>
      </c>
      <c r="N1" s="417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360</v>
      </c>
      <c r="E2" s="21"/>
      <c r="F2" s="21"/>
      <c r="G2" s="21"/>
      <c r="H2" s="21"/>
      <c r="I2" s="21"/>
      <c r="J2" s="20"/>
      <c r="K2" s="20"/>
      <c r="L2" s="22" t="s">
        <v>111</v>
      </c>
      <c r="M2" s="418" t="s">
        <v>363</v>
      </c>
      <c r="N2" s="419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360</v>
      </c>
      <c r="E3" s="24"/>
      <c r="F3" s="25"/>
      <c r="G3" s="25"/>
      <c r="H3" s="25"/>
      <c r="I3" s="26"/>
      <c r="J3" s="20"/>
      <c r="K3" s="20"/>
      <c r="L3" s="22" t="s">
        <v>112</v>
      </c>
      <c r="M3" s="416" t="s">
        <v>168</v>
      </c>
      <c r="N3" s="417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16">
        <v>2024</v>
      </c>
      <c r="N4" s="417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8" t="s">
        <v>361</v>
      </c>
      <c r="J5" s="420"/>
      <c r="K5" s="420"/>
      <c r="L5" s="419"/>
      <c r="M5" s="352" t="s">
        <v>113</v>
      </c>
      <c r="N5" s="32" t="s">
        <v>362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21" t="s">
        <v>22</v>
      </c>
      <c r="D8" s="422"/>
      <c r="E8" s="371" t="s">
        <v>23</v>
      </c>
      <c r="F8" s="49" t="s">
        <v>24</v>
      </c>
      <c r="G8" s="50" t="str">
        <f>"FY "&amp;'GVCA|0001-00'!FiscalYear-1&amp;" SALARY"</f>
        <v>FY 2023 SALARY</v>
      </c>
      <c r="H8" s="50" t="str">
        <f>"FY "&amp;'GVCA|0001-00'!FiscalYear-1&amp;" HEALTH BENEFITS"</f>
        <v>FY 2023 HEALTH BENEFITS</v>
      </c>
      <c r="I8" s="50" t="str">
        <f>"FY "&amp;'GVCA|0001-00'!FiscalYear-1&amp;" VAR BENEFITS"</f>
        <v>FY 2023 VAR BENEFITS</v>
      </c>
      <c r="J8" s="50" t="str">
        <f>"FY "&amp;'GVCA|0001-00'!FiscalYear-1&amp;" TOTAL"</f>
        <v>FY 2023 TOTAL</v>
      </c>
      <c r="K8" s="50" t="str">
        <f>"FY "&amp;'GVCA|0001-00'!FiscalYear&amp;" SALARY CHANGE"</f>
        <v>FY 2024 SALARY CHANGE</v>
      </c>
      <c r="L8" s="50" t="str">
        <f>"FY "&amp;'GVCA|0001-00'!FiscalYear&amp;" CHG HEALTH BENEFITS"</f>
        <v>FY 2024 CHG HEALTH BENEFITS</v>
      </c>
      <c r="M8" s="50" t="str">
        <f>"FY "&amp;'GVCA|0001-00'!FiscalYear&amp;"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23" t="s">
        <v>103</v>
      </c>
      <c r="AB8" s="423"/>
      <c r="AC8" s="42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24" t="s">
        <v>26</v>
      </c>
      <c r="D9" s="42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14" t="s">
        <v>27</v>
      </c>
      <c r="D10" s="415"/>
      <c r="E10" s="217">
        <v>1</v>
      </c>
      <c r="F10" s="288">
        <f>[0]!GVCA000100col_INC_FTI</f>
        <v>14.7</v>
      </c>
      <c r="G10" s="218">
        <f>[0]!GVCA000100col_FTI_SALARY_PERM</f>
        <v>1320926.8800000001</v>
      </c>
      <c r="H10" s="218">
        <f>[0]!GVCA000100col_HEALTH_PERM</f>
        <v>183750</v>
      </c>
      <c r="I10" s="218">
        <f>[0]!GVCA000100col_TOT_VB_PERM</f>
        <v>271395.65330080007</v>
      </c>
      <c r="J10" s="219">
        <f>SUM(G10:I10)</f>
        <v>1776072.5333008002</v>
      </c>
      <c r="K10" s="219">
        <f>[0]!GVCA000100col_1_27TH_PP</f>
        <v>0</v>
      </c>
      <c r="L10" s="218">
        <f>[0]!GVCA000100col_HEALTH_PERM_CHG</f>
        <v>18375</v>
      </c>
      <c r="M10" s="218">
        <f>[0]!GVCA000100col_TOT_VB_PERM_CHG</f>
        <v>-11231.663856000012</v>
      </c>
      <c r="N10" s="218">
        <f>SUM(L10:M10)</f>
        <v>7143.3361439999881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13200</v>
      </c>
      <c r="AB10" s="335">
        <f>ROUND(PermVarBen*CECPerm+(CECPerm*PermVarBenChg),-2)</f>
        <v>2600</v>
      </c>
      <c r="AC10" s="335">
        <f>SUM(AA10:AB10)</f>
        <v>15800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14" t="s">
        <v>28</v>
      </c>
      <c r="D11" s="415"/>
      <c r="E11" s="217">
        <v>2</v>
      </c>
      <c r="F11" s="288"/>
      <c r="G11" s="218">
        <f>[0]!GVCA000100col_Group_Salary</f>
        <v>5005</v>
      </c>
      <c r="H11" s="218">
        <v>0</v>
      </c>
      <c r="I11" s="218">
        <f>[0]!GVCA000100col_Group_Ben</f>
        <v>583.80999999999995</v>
      </c>
      <c r="J11" s="219">
        <f>SUM(G11:I11)</f>
        <v>5588.8099999999995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14" t="s">
        <v>29</v>
      </c>
      <c r="D12" s="426"/>
      <c r="E12" s="217">
        <v>3</v>
      </c>
      <c r="F12" s="288">
        <f>[0]!GVCA000100col_TOTAL_ELECT_PCN_FTI</f>
        <v>0</v>
      </c>
      <c r="G12" s="218">
        <f>[0]!GVCA000100col_FTI_SALARY_ELECT</f>
        <v>0</v>
      </c>
      <c r="H12" s="218">
        <f>[0]!GVCA000100col_HEALTH_ELECT</f>
        <v>0</v>
      </c>
      <c r="I12" s="218">
        <f>[0]!GVCA000100col_TOT_VB_ELECT</f>
        <v>0</v>
      </c>
      <c r="J12" s="219">
        <f>SUM(G12:I12)</f>
        <v>0</v>
      </c>
      <c r="K12" s="268"/>
      <c r="L12" s="218">
        <f>[0]!GVCA000100col_HEALTH_ELECT_CHG</f>
        <v>0</v>
      </c>
      <c r="M12" s="218">
        <f>[0]!GVCA000100col_TOT_VB_ELECT_CHG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14" t="s">
        <v>30</v>
      </c>
      <c r="D13" s="415"/>
      <c r="E13" s="217"/>
      <c r="F13" s="220">
        <f>SUM(F10:F12)</f>
        <v>14.7</v>
      </c>
      <c r="G13" s="221">
        <f>SUM(G10:G12)</f>
        <v>1325931.8800000001</v>
      </c>
      <c r="H13" s="221">
        <f>SUM(H10:H12)</f>
        <v>183750</v>
      </c>
      <c r="I13" s="221">
        <f>SUM(I10:I12)</f>
        <v>271979.46330080007</v>
      </c>
      <c r="J13" s="219">
        <f>SUM(G13:I13)</f>
        <v>1781661.3433008003</v>
      </c>
      <c r="K13" s="268"/>
      <c r="L13" s="219">
        <f>SUM(L10:L12)</f>
        <v>18375</v>
      </c>
      <c r="M13" s="219">
        <f>SUM(M10:M12)</f>
        <v>-11231.663856000012</v>
      </c>
      <c r="N13" s="219">
        <f>SUM(N10:N12)</f>
        <v>7143.3361439999881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"&amp;'GVCA|0001-00'!FiscalYear-1</f>
        <v>FY 2023</v>
      </c>
      <c r="D15" s="158" t="s">
        <v>31</v>
      </c>
      <c r="E15" s="355">
        <v>1879100</v>
      </c>
      <c r="F15" s="55">
        <v>14.65</v>
      </c>
      <c r="G15" s="223">
        <f>IF(OrigApprop=0,0,(G13/$J$13)*OrigApprop)</f>
        <v>1398446.795220918</v>
      </c>
      <c r="H15" s="223">
        <f>IF(OrigApprop=0,0,(H13/$J$13)*OrigApprop)</f>
        <v>193799.24602298852</v>
      </c>
      <c r="I15" s="223">
        <f>IF(G15=0,0,(I13/$J$13)*OrigApprop)</f>
        <v>286853.95875609323</v>
      </c>
      <c r="J15" s="223">
        <f>SUM(G15:I15)</f>
        <v>1879099.9999999998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32" t="s">
        <v>32</v>
      </c>
      <c r="D16" s="433"/>
      <c r="E16" s="160" t="s">
        <v>33</v>
      </c>
      <c r="F16" s="161">
        <f>F15-F13</f>
        <v>-4.9999999999998934E-2</v>
      </c>
      <c r="G16" s="162">
        <f>G15-G13</f>
        <v>72514.915220917901</v>
      </c>
      <c r="H16" s="162">
        <f>H15-H13</f>
        <v>10049.246022988518</v>
      </c>
      <c r="I16" s="162">
        <f>I15-I13</f>
        <v>14874.495455293159</v>
      </c>
      <c r="J16" s="162">
        <f>J15-J13</f>
        <v>97438.656699199462</v>
      </c>
      <c r="K16" s="269"/>
      <c r="L16" s="56" t="str">
        <f>IF('GVCA|0001-00'!OrigApprop=0,"No Original Appropriation amount in DU 3.00 for this fund","Calculated "&amp;IF('GVCA|0001-00'!AdjustedTotal&gt;0,"overfunding ","underfunding ")&amp;"is "&amp;TEXT('GVCA|0001-00'!AdjustedTotal/'GVCA|0001-00'!AppropTotal,"#.0%;(#.0% );0% ;")&amp;" of Original Appropriation")</f>
        <v>Calculated overfunding is 5.2%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34" t="s">
        <v>34</v>
      </c>
      <c r="D17" s="43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36" t="s">
        <v>35</v>
      </c>
      <c r="D18" s="43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8" t="s">
        <v>37</v>
      </c>
      <c r="D37" s="43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40" t="s">
        <v>105</v>
      </c>
      <c r="AB37" s="441"/>
      <c r="AC37" s="44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14" t="str">
        <f>perm_name</f>
        <v>Permanent Positions</v>
      </c>
      <c r="D38" s="426"/>
      <c r="E38" s="189">
        <v>1</v>
      </c>
      <c r="F38" s="190">
        <f>SUMIF($E9:$E35,$E38,$F9:$F35)</f>
        <v>14.7</v>
      </c>
      <c r="G38" s="191">
        <f>SUMIF($E10:$E35,$E38,$G10:$G35)</f>
        <v>1320926.8800000001</v>
      </c>
      <c r="H38" s="192">
        <f>SUMIF($E10:$E35,$E38,$H10:$H35)</f>
        <v>183750</v>
      </c>
      <c r="I38" s="192">
        <f>SUMIF($E10:$E35,$E38,$I10:$I35)</f>
        <v>271395.65330080007</v>
      </c>
      <c r="J38" s="192">
        <f>SUM(G38:I38)</f>
        <v>1776072.5333008002</v>
      </c>
      <c r="K38" s="166"/>
      <c r="L38" s="191">
        <f>SUMIF($E10:$E35,$E38,$L10:$L35)</f>
        <v>18375</v>
      </c>
      <c r="M38" s="192">
        <f>SUMIF($E10:$E35,$E38,$M10:$M35)</f>
        <v>-11231.663856000012</v>
      </c>
      <c r="N38" s="192">
        <f>SUM(L38:M38)</f>
        <v>7143.3361439999881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13200</v>
      </c>
      <c r="AB38" s="338">
        <f>ROUND((AdjPermVB*CECPerm+AdjPermVBBY*CECPerm),-2)</f>
        <v>2600</v>
      </c>
      <c r="AC38" s="338">
        <f>SUM(AA38:AB38)</f>
        <v>15800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14" t="str">
        <f>Group_name</f>
        <v>Board &amp; Group Positions</v>
      </c>
      <c r="D39" s="426"/>
      <c r="E39" s="189">
        <v>2</v>
      </c>
      <c r="F39" s="151">
        <f>SUMIF($E9:$E35,$E39,$F9:$F35)</f>
        <v>0</v>
      </c>
      <c r="G39" s="193">
        <f>SUMIF($E10:$E35,$E39,$G10:$G35)</f>
        <v>5005</v>
      </c>
      <c r="H39" s="152">
        <f>SUMIF($E10:$E35,$E39,$H10:$H35)</f>
        <v>0</v>
      </c>
      <c r="I39" s="152">
        <f>SUMIF($E10:$E35,$E39,$I10:$I35)</f>
        <v>583.80999999999995</v>
      </c>
      <c r="J39" s="152">
        <f>SUM(G39:I39)</f>
        <v>5588.8099999999995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14" t="s">
        <v>38</v>
      </c>
      <c r="D41" s="426"/>
      <c r="E41" s="189"/>
      <c r="F41" s="161">
        <f>SUM(F38:F40)</f>
        <v>14.7</v>
      </c>
      <c r="G41" s="195">
        <f>SUM($G$38:$G$40)</f>
        <v>1325931.8800000001</v>
      </c>
      <c r="H41" s="162">
        <f>SUM($H$38:$H$40)</f>
        <v>183750</v>
      </c>
      <c r="I41" s="162">
        <f>SUM($I$38:$I$40)</f>
        <v>271979.46330080007</v>
      </c>
      <c r="J41" s="162">
        <f>SUM($J$38:$J$40)</f>
        <v>1781661.3433008003</v>
      </c>
      <c r="K41" s="259"/>
      <c r="L41" s="195">
        <f>SUM($L$38:$L$40)</f>
        <v>18375</v>
      </c>
      <c r="M41" s="162">
        <f>SUM($M$38:$M$40)</f>
        <v>-11231.663856000012</v>
      </c>
      <c r="N41" s="162">
        <f>SUM(L41:M41)</f>
        <v>7143.3361439999881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4"/>
      <c r="D42" s="44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6" t="s">
        <v>39</v>
      </c>
      <c r="D43" s="447"/>
      <c r="E43" s="203" t="s">
        <v>40</v>
      </c>
      <c r="F43" s="205">
        <f>ROUND(F51-F41,2)</f>
        <v>-0.05</v>
      </c>
      <c r="G43" s="206">
        <f>G51-G41</f>
        <v>72514.915220917901</v>
      </c>
      <c r="H43" s="159">
        <f>H51-H41</f>
        <v>10049.246022988518</v>
      </c>
      <c r="I43" s="159">
        <f>I51-I41</f>
        <v>14874.495455293159</v>
      </c>
      <c r="J43" s="159">
        <f>SUM(G43:I43)</f>
        <v>97438.656699199579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5.2%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30" t="s">
        <v>106</v>
      </c>
      <c r="AB43" s="431"/>
      <c r="AC43" s="43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8"/>
      <c r="D44" s="449"/>
      <c r="E44" s="204" t="s">
        <v>41</v>
      </c>
      <c r="F44" s="205">
        <f>ROUND(F60-F41,2)</f>
        <v>-0.05</v>
      </c>
      <c r="G44" s="206">
        <f>G60-G41</f>
        <v>72468.119999999879</v>
      </c>
      <c r="H44" s="159">
        <f>H60-H41</f>
        <v>10050</v>
      </c>
      <c r="I44" s="159">
        <f>I60-I41</f>
        <v>14920.536699199933</v>
      </c>
      <c r="J44" s="159">
        <f>SUM(G44:I44)</f>
        <v>97438.656699199812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5.2%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-0.05</v>
      </c>
      <c r="G45" s="206">
        <f>G67-G41-G63</f>
        <v>72468.119999999879</v>
      </c>
      <c r="H45" s="206">
        <f>H67-H41-H63</f>
        <v>10050</v>
      </c>
      <c r="I45" s="206">
        <f>I67-I41-I63</f>
        <v>14920.536699199933</v>
      </c>
      <c r="J45" s="159">
        <f>SUM(G45:I45)</f>
        <v>97438.656699199812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5.2%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50" t="s">
        <v>98</v>
      </c>
      <c r="F46" s="451"/>
      <c r="G46" s="451"/>
      <c r="H46" s="451"/>
      <c r="I46" s="451"/>
      <c r="J46" s="452"/>
      <c r="K46" s="45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57"/>
      <c r="M46" s="457"/>
      <c r="N46" s="45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53"/>
      <c r="F47" s="454"/>
      <c r="G47" s="454"/>
      <c r="H47" s="454"/>
      <c r="I47" s="454"/>
      <c r="J47" s="455"/>
      <c r="K47" s="459"/>
      <c r="L47" s="460"/>
      <c r="M47" s="460"/>
      <c r="N47" s="46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62"/>
      <c r="D50" s="46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1879100</v>
      </c>
      <c r="F51" s="272">
        <f>AppropFTP</f>
        <v>14.65</v>
      </c>
      <c r="G51" s="274">
        <f>IF(E51=0,0,(G41/$J$41)*$E$51)</f>
        <v>1398446.795220918</v>
      </c>
      <c r="H51" s="274">
        <f>IF(E51=0,0,(H41/$J$41)*$E$51)</f>
        <v>193799.24602298852</v>
      </c>
      <c r="I51" s="275">
        <f>IF(E51=0,0,(I41/$J$41)*$E$51)</f>
        <v>286853.95875609323</v>
      </c>
      <c r="J51" s="90">
        <f>SUM(G51:I51)</f>
        <v>1879099.9999999998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14.65</v>
      </c>
      <c r="G52" s="79">
        <f>ROUND(G51,-2)</f>
        <v>1398400</v>
      </c>
      <c r="H52" s="79">
        <f>ROUND(H51,-2)</f>
        <v>193800</v>
      </c>
      <c r="I52" s="266">
        <f>ROUND(I51,-2)</f>
        <v>286900</v>
      </c>
      <c r="J52" s="80">
        <f>ROUND(J51,-2)</f>
        <v>1879100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64" t="s">
        <v>47</v>
      </c>
      <c r="D53" s="46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42" t="s">
        <v>48</v>
      </c>
      <c r="D54" s="44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8" t="s">
        <v>49</v>
      </c>
      <c r="D55" s="46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14.65</v>
      </c>
      <c r="G56" s="80">
        <f>SUM(G52:G55)</f>
        <v>1398400</v>
      </c>
      <c r="H56" s="80">
        <f>SUM(H52:H55)</f>
        <v>193800</v>
      </c>
      <c r="I56" s="260">
        <f>SUM(I52:I55)</f>
        <v>286900</v>
      </c>
      <c r="J56" s="80">
        <f>SUM(J52:J55)</f>
        <v>1879100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66" t="s">
        <v>51</v>
      </c>
      <c r="D57" s="470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71" t="s">
        <v>116</v>
      </c>
      <c r="D58" s="472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71" t="s">
        <v>52</v>
      </c>
      <c r="D59" s="47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14.65</v>
      </c>
      <c r="G60" s="80">
        <f>SUM(G56:G59)</f>
        <v>1398400</v>
      </c>
      <c r="H60" s="80">
        <f>SUM(H56:H59)</f>
        <v>193800</v>
      </c>
      <c r="I60" s="260">
        <f>SUM(I56:I59)</f>
        <v>286900</v>
      </c>
      <c r="J60" s="80">
        <f>SUM(J56:J59)</f>
        <v>1879100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66" t="s">
        <v>54</v>
      </c>
      <c r="D61" s="470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42" t="s">
        <v>65</v>
      </c>
      <c r="D62" s="44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42" t="s">
        <v>55</v>
      </c>
      <c r="D63" s="44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73" t="s">
        <v>56</v>
      </c>
      <c r="D64" s="474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75"/>
      <c r="D65" s="47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77"/>
      <c r="D66" s="478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14.65</v>
      </c>
      <c r="G67" s="80">
        <f>SUM(G60:G64)</f>
        <v>1398400</v>
      </c>
      <c r="H67" s="80">
        <f>SUM(H60:H64)</f>
        <v>193800</v>
      </c>
      <c r="I67" s="80">
        <f>SUM(I60:I64)</f>
        <v>286900</v>
      </c>
      <c r="J67" s="80">
        <f>SUM(J60:J64)</f>
        <v>1879100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66" t="s">
        <v>58</v>
      </c>
      <c r="D68" s="467"/>
      <c r="E68" s="112"/>
      <c r="F68" s="288"/>
      <c r="G68" s="287"/>
      <c r="H68" s="113">
        <f>IF(DUNine=0,0,ROUND(SUM(L41:L65),-2))</f>
        <v>18400</v>
      </c>
      <c r="I68" s="113"/>
      <c r="J68" s="287">
        <f>SUM(G68:I68)</f>
        <v>18400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66" t="s">
        <v>59</v>
      </c>
      <c r="D69" s="467"/>
      <c r="E69" s="112"/>
      <c r="F69" s="288"/>
      <c r="G69" s="113"/>
      <c r="H69" s="113"/>
      <c r="I69" s="113">
        <f>IF(DUNine=0,0,ROUND(SUM(M41:M64),-2))</f>
        <v>-11200</v>
      </c>
      <c r="J69" s="287">
        <f>SUM(G69:I69)</f>
        <v>-11200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81"/>
      <c r="D70" s="482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42" t="s">
        <v>60</v>
      </c>
      <c r="D71" s="44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42" t="s">
        <v>99</v>
      </c>
      <c r="D72" s="483"/>
      <c r="E72" s="290">
        <f>CECPerm</f>
        <v>0.01</v>
      </c>
      <c r="F72" s="288"/>
      <c r="G72" s="356">
        <f>IF(DUNine=0,0,IF(DUNine&lt;0,0,ROUND(AdjPermSalary*CECPerm,-2)))</f>
        <v>13200</v>
      </c>
      <c r="H72" s="287"/>
      <c r="I72" s="287">
        <f>ROUND(($G72*PermVBBY+$G72*Retire1BY),-2)</f>
        <v>2600</v>
      </c>
      <c r="J72" s="113">
        <f>SUM(G72:I72)</f>
        <v>15800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42" t="s">
        <v>117</v>
      </c>
      <c r="D73" s="483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14.65</v>
      </c>
      <c r="G75" s="80">
        <f>SUM(G67:G74)</f>
        <v>1411700</v>
      </c>
      <c r="H75" s="80">
        <f>SUM(H67:H74)</f>
        <v>212200</v>
      </c>
      <c r="I75" s="80">
        <f>SUM(I67:I74)</f>
        <v>278300</v>
      </c>
      <c r="J75" s="80">
        <f>SUM(J67:K74)</f>
        <v>1902200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84" t="s">
        <v>63</v>
      </c>
      <c r="D76" s="485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9"/>
      <c r="D77" s="480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9"/>
      <c r="D78" s="480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9"/>
      <c r="D79" s="480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14.65</v>
      </c>
      <c r="G80" s="80">
        <f>SUM(G75:G79)</f>
        <v>1411700</v>
      </c>
      <c r="H80" s="80">
        <f>SUM(H75:H79)</f>
        <v>212200</v>
      </c>
      <c r="I80" s="80">
        <f>SUM(I75:I79)</f>
        <v>278300</v>
      </c>
      <c r="J80" s="80">
        <f>SUM(J75:J79)</f>
        <v>1902200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44" priority="8">
      <formula>$J$44&lt;0</formula>
    </cfRule>
  </conditionalFormatting>
  <conditionalFormatting sqref="K43">
    <cfRule type="expression" dxfId="43" priority="7">
      <formula>$J$43&lt;0</formula>
    </cfRule>
  </conditionalFormatting>
  <conditionalFormatting sqref="L16">
    <cfRule type="expression" dxfId="42" priority="6">
      <formula>$J$16&lt;0</formula>
    </cfRule>
  </conditionalFormatting>
  <conditionalFormatting sqref="K45">
    <cfRule type="expression" dxfId="41" priority="5">
      <formula>$J$44&lt;0</formula>
    </cfRule>
  </conditionalFormatting>
  <conditionalFormatting sqref="K43:N45">
    <cfRule type="containsText" dxfId="40" priority="4" operator="containsText" text="underfunding">
      <formula>NOT(ISERROR(SEARCH("underfunding",K43)))</formula>
    </cfRule>
  </conditionalFormatting>
  <conditionalFormatting sqref="K44">
    <cfRule type="expression" dxfId="39" priority="3">
      <formula>$J$44&lt;0</formula>
    </cfRule>
  </conditionalFormatting>
  <conditionalFormatting sqref="K45">
    <cfRule type="expression" dxfId="38" priority="2">
      <formula>$J$44&lt;0</formula>
    </cfRule>
  </conditionalFormatting>
  <conditionalFormatting sqref="K45">
    <cfRule type="expression" dxfId="3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81A029-2DFD-4CA5-B7B7-37906B4F0C4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C910-1BA0-45BC-8186-9E79E9E67838}">
  <sheetPr codeName="Sheet7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359</v>
      </c>
      <c r="E1" s="15"/>
      <c r="F1" s="15"/>
      <c r="G1" s="15"/>
      <c r="H1" s="15"/>
      <c r="I1" s="15"/>
      <c r="J1" s="15"/>
      <c r="K1" s="15"/>
      <c r="L1" s="16" t="s">
        <v>14</v>
      </c>
      <c r="M1" s="416">
        <v>180</v>
      </c>
      <c r="N1" s="417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360</v>
      </c>
      <c r="E2" s="21"/>
      <c r="F2" s="21"/>
      <c r="G2" s="21"/>
      <c r="H2" s="21"/>
      <c r="I2" s="21"/>
      <c r="J2" s="20"/>
      <c r="K2" s="20"/>
      <c r="L2" s="22" t="s">
        <v>111</v>
      </c>
      <c r="M2" s="418" t="s">
        <v>369</v>
      </c>
      <c r="N2" s="419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360</v>
      </c>
      <c r="E3" s="24"/>
      <c r="F3" s="25"/>
      <c r="G3" s="25"/>
      <c r="H3" s="25"/>
      <c r="I3" s="26"/>
      <c r="J3" s="20"/>
      <c r="K3" s="20"/>
      <c r="L3" s="22" t="s">
        <v>112</v>
      </c>
      <c r="M3" s="416" t="s">
        <v>168</v>
      </c>
      <c r="N3" s="417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16">
        <v>2024</v>
      </c>
      <c r="N4" s="417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8" t="s">
        <v>367</v>
      </c>
      <c r="J5" s="420"/>
      <c r="K5" s="420"/>
      <c r="L5" s="419"/>
      <c r="M5" s="352" t="s">
        <v>113</v>
      </c>
      <c r="N5" s="32" t="s">
        <v>368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21" t="s">
        <v>22</v>
      </c>
      <c r="D8" s="422"/>
      <c r="E8" s="371" t="s">
        <v>23</v>
      </c>
      <c r="F8" s="49" t="s">
        <v>24</v>
      </c>
      <c r="G8" s="50" t="str">
        <f>"FY "&amp;'GVCA|0349-00'!FiscalYear-1&amp;" SALARY"</f>
        <v>FY 2023 SALARY</v>
      </c>
      <c r="H8" s="50" t="str">
        <f>"FY "&amp;'GVCA|0349-00'!FiscalYear-1&amp;" HEALTH BENEFITS"</f>
        <v>FY 2023 HEALTH BENEFITS</v>
      </c>
      <c r="I8" s="50" t="str">
        <f>"FY "&amp;'GVCA|0349-00'!FiscalYear-1&amp;" VAR BENEFITS"</f>
        <v>FY 2023 VAR BENEFITS</v>
      </c>
      <c r="J8" s="50" t="str">
        <f>"FY "&amp;'GVCA|0349-00'!FiscalYear-1&amp;" TOTAL"</f>
        <v>FY 2023 TOTAL</v>
      </c>
      <c r="K8" s="50" t="str">
        <f>"FY "&amp;'GVCA|0349-00'!FiscalYear&amp;" SALARY CHANGE"</f>
        <v>FY 2024 SALARY CHANGE</v>
      </c>
      <c r="L8" s="50" t="str">
        <f>"FY "&amp;'GVCA|0349-00'!FiscalYear&amp;" CHG HEALTH BENEFITS"</f>
        <v>FY 2024 CHG HEALTH BENEFITS</v>
      </c>
      <c r="M8" s="50" t="str">
        <f>"FY "&amp;'GVCA|0349-00'!FiscalYear&amp;"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23" t="s">
        <v>103</v>
      </c>
      <c r="AB8" s="423"/>
      <c r="AC8" s="42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24" t="s">
        <v>26</v>
      </c>
      <c r="D9" s="42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14" t="s">
        <v>27</v>
      </c>
      <c r="D10" s="415"/>
      <c r="E10" s="217">
        <v>1</v>
      </c>
      <c r="F10" s="288">
        <f>[0]!GVCA034900col_INC_FTI</f>
        <v>0.3</v>
      </c>
      <c r="G10" s="218">
        <f>[0]!GVCA034900col_FTI_SALARY_PERM</f>
        <v>15743.52</v>
      </c>
      <c r="H10" s="218">
        <f>[0]!GVCA034900col_HEALTH_PERM</f>
        <v>3750</v>
      </c>
      <c r="I10" s="218">
        <f>[0]!GVCA034900col_TOT_VB_PERM</f>
        <v>3249.6199631999998</v>
      </c>
      <c r="J10" s="219">
        <f>SUM(G10:I10)</f>
        <v>22743.139963199999</v>
      </c>
      <c r="K10" s="219">
        <f>[0]!GVCA034900col_1_27TH_PP</f>
        <v>0</v>
      </c>
      <c r="L10" s="218">
        <f>[0]!GVCA034900col_HEALTH_PERM_CHG</f>
        <v>375</v>
      </c>
      <c r="M10" s="218">
        <f>[0]!GVCA034900col_TOT_VB_PERM_CHG</f>
        <v>-136.96862400000015</v>
      </c>
      <c r="N10" s="218">
        <f>SUM(L10:M10)</f>
        <v>238.03137599999985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200</v>
      </c>
      <c r="AB10" s="335">
        <f>ROUND(PermVarBen*CECPerm+(CECPerm*PermVarBenChg),-2)</f>
        <v>0</v>
      </c>
      <c r="AC10" s="335">
        <f>SUM(AA10:AB10)</f>
        <v>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14" t="s">
        <v>28</v>
      </c>
      <c r="D11" s="415"/>
      <c r="E11" s="217">
        <v>2</v>
      </c>
      <c r="F11" s="288"/>
      <c r="G11" s="218">
        <f>[0]!GVCA034900col_Group_Salary</f>
        <v>0</v>
      </c>
      <c r="H11" s="218">
        <v>0</v>
      </c>
      <c r="I11" s="218">
        <f>[0]!GVCA034900col_Group_Ben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14" t="s">
        <v>29</v>
      </c>
      <c r="D12" s="426"/>
      <c r="E12" s="217">
        <v>3</v>
      </c>
      <c r="F12" s="288">
        <f>[0]!GVCA034900col_TOTAL_ELECT_PCN_FTI</f>
        <v>0</v>
      </c>
      <c r="G12" s="218">
        <f>[0]!GVCA034900col_FTI_SALARY_ELECT</f>
        <v>0</v>
      </c>
      <c r="H12" s="218">
        <f>[0]!GVCA034900col_HEALTH_ELECT</f>
        <v>0</v>
      </c>
      <c r="I12" s="218">
        <f>[0]!GVCA034900col_TOT_VB_ELECT</f>
        <v>0</v>
      </c>
      <c r="J12" s="219">
        <f>SUM(G12:I12)</f>
        <v>0</v>
      </c>
      <c r="K12" s="268"/>
      <c r="L12" s="218">
        <f>[0]!GVCA034900col_HEALTH_ELECT_CHG</f>
        <v>0</v>
      </c>
      <c r="M12" s="218">
        <f>[0]!GVCA034900col_TOT_VB_ELECT_CHG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14" t="s">
        <v>30</v>
      </c>
      <c r="D13" s="415"/>
      <c r="E13" s="217"/>
      <c r="F13" s="220">
        <f>SUM(F10:F12)</f>
        <v>0.3</v>
      </c>
      <c r="G13" s="221">
        <f>SUM(G10:G12)</f>
        <v>15743.52</v>
      </c>
      <c r="H13" s="221">
        <f>SUM(H10:H12)</f>
        <v>3750</v>
      </c>
      <c r="I13" s="221">
        <f>SUM(I10:I12)</f>
        <v>3249.6199631999998</v>
      </c>
      <c r="J13" s="219">
        <f>SUM(G13:I13)</f>
        <v>22743.139963199999</v>
      </c>
      <c r="K13" s="268"/>
      <c r="L13" s="219">
        <f>SUM(L10:L12)</f>
        <v>375</v>
      </c>
      <c r="M13" s="219">
        <f>SUM(M10:M12)</f>
        <v>-136.96862400000015</v>
      </c>
      <c r="N13" s="219">
        <f>SUM(N10:N12)</f>
        <v>238.03137599999985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"&amp;'GVCA|0349-00'!FiscalYear-1</f>
        <v>FY 2023</v>
      </c>
      <c r="D15" s="158" t="s">
        <v>31</v>
      </c>
      <c r="E15" s="355">
        <v>43500</v>
      </c>
      <c r="F15" s="55">
        <v>0.35</v>
      </c>
      <c r="G15" s="223">
        <f>IF(OrigApprop=0,0,(G13/$J$13)*OrigApprop)</f>
        <v>30112.074282976071</v>
      </c>
      <c r="H15" s="223">
        <f>IF(OrigApprop=0,0,(H13/$J$13)*OrigApprop)</f>
        <v>7172.492464274842</v>
      </c>
      <c r="I15" s="223">
        <f>IF(G15=0,0,(I13/$J$13)*OrigApprop)</f>
        <v>6215.4332527490897</v>
      </c>
      <c r="J15" s="223">
        <f>SUM(G15:I15)</f>
        <v>43500.000000000007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32" t="s">
        <v>32</v>
      </c>
      <c r="D16" s="433"/>
      <c r="E16" s="160" t="s">
        <v>33</v>
      </c>
      <c r="F16" s="161">
        <f>F15-F13</f>
        <v>4.9999999999999989E-2</v>
      </c>
      <c r="G16" s="162">
        <f>G15-G13</f>
        <v>14368.554282976071</v>
      </c>
      <c r="H16" s="162">
        <f>H15-H13</f>
        <v>3422.492464274842</v>
      </c>
      <c r="I16" s="162">
        <f>I15-I13</f>
        <v>2965.8132895490899</v>
      </c>
      <c r="J16" s="162">
        <f>J15-J13</f>
        <v>20756.860036800008</v>
      </c>
      <c r="K16" s="269"/>
      <c r="L16" s="56" t="str">
        <f>IF('GVCA|0349-00'!OrigApprop=0,"No Original Appropriation amount in DU 3.00 for this fund","Calculated "&amp;IF('GVCA|0349-00'!AdjustedTotal&gt;0,"overfunding ","underfunding ")&amp;"is "&amp;TEXT('GVCA|0349-00'!AdjustedTotal/'GVCA|0349-00'!AppropTotal,"#.0%;(#.0% );0% ;")&amp;" of Original Appropriation")</f>
        <v>Calculated overfunding is 47.7%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34" t="s">
        <v>34</v>
      </c>
      <c r="D17" s="43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36" t="s">
        <v>35</v>
      </c>
      <c r="D18" s="43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8" t="s">
        <v>37</v>
      </c>
      <c r="D37" s="43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40" t="s">
        <v>105</v>
      </c>
      <c r="AB37" s="441"/>
      <c r="AC37" s="44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14" t="str">
        <f>perm_name</f>
        <v>Permanent Positions</v>
      </c>
      <c r="D38" s="426"/>
      <c r="E38" s="189">
        <v>1</v>
      </c>
      <c r="F38" s="190">
        <f>SUMIF($E9:$E35,$E38,$F9:$F35)</f>
        <v>0.3</v>
      </c>
      <c r="G38" s="191">
        <f>SUMIF($E10:$E35,$E38,$G10:$G35)</f>
        <v>15743.52</v>
      </c>
      <c r="H38" s="192">
        <f>SUMIF($E10:$E35,$E38,$H10:$H35)</f>
        <v>3750</v>
      </c>
      <c r="I38" s="192">
        <f>SUMIF($E10:$E35,$E38,$I10:$I35)</f>
        <v>3249.6199631999998</v>
      </c>
      <c r="J38" s="192">
        <f>SUM(G38:I38)</f>
        <v>22743.139963199999</v>
      </c>
      <c r="K38" s="166"/>
      <c r="L38" s="191">
        <f>SUMIF($E10:$E35,$E38,$L10:$L35)</f>
        <v>375</v>
      </c>
      <c r="M38" s="192">
        <f>SUMIF($E10:$E35,$E38,$M10:$M35)</f>
        <v>-136.96862400000015</v>
      </c>
      <c r="N38" s="192">
        <f>SUM(L38:M38)</f>
        <v>238.03137599999985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200</v>
      </c>
      <c r="AB38" s="338">
        <f>ROUND((AdjPermVB*CECPerm+AdjPermVBBY*CECPerm),-2)</f>
        <v>0</v>
      </c>
      <c r="AC38" s="338">
        <f>SUM(AA38:AB38)</f>
        <v>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14" t="str">
        <f>Group_name</f>
        <v>Board &amp; Group Positions</v>
      </c>
      <c r="D39" s="42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14" t="s">
        <v>38</v>
      </c>
      <c r="D41" s="426"/>
      <c r="E41" s="189"/>
      <c r="F41" s="161">
        <f>SUM(F38:F40)</f>
        <v>0.3</v>
      </c>
      <c r="G41" s="195">
        <f>SUM($G$38:$G$40)</f>
        <v>15743.52</v>
      </c>
      <c r="H41" s="162">
        <f>SUM($H$38:$H$40)</f>
        <v>3750</v>
      </c>
      <c r="I41" s="162">
        <f>SUM($I$38:$I$40)</f>
        <v>3249.6199631999998</v>
      </c>
      <c r="J41" s="162">
        <f>SUM($J$38:$J$40)</f>
        <v>22743.139963199999</v>
      </c>
      <c r="K41" s="259"/>
      <c r="L41" s="195">
        <f>SUM($L$38:$L$40)</f>
        <v>375</v>
      </c>
      <c r="M41" s="162">
        <f>SUM($M$38:$M$40)</f>
        <v>-136.96862400000015</v>
      </c>
      <c r="N41" s="162">
        <f>SUM(L41:M41)</f>
        <v>238.03137599999985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4"/>
      <c r="D42" s="44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6" t="s">
        <v>39</v>
      </c>
      <c r="D43" s="447"/>
      <c r="E43" s="203" t="s">
        <v>40</v>
      </c>
      <c r="F43" s="205">
        <f>ROUND(F51-F41,2)</f>
        <v>0.05</v>
      </c>
      <c r="G43" s="206">
        <f>G51-G41</f>
        <v>14368.554282976071</v>
      </c>
      <c r="H43" s="159">
        <f>H51-H41</f>
        <v>3422.492464274842</v>
      </c>
      <c r="I43" s="159">
        <f>I51-I41</f>
        <v>2965.8132895490899</v>
      </c>
      <c r="J43" s="159">
        <f>SUM(G43:I43)</f>
        <v>20756.860036800001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47.7%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30" t="s">
        <v>106</v>
      </c>
      <c r="AB43" s="431"/>
      <c r="AC43" s="43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8"/>
      <c r="D44" s="449"/>
      <c r="E44" s="204" t="s">
        <v>41</v>
      </c>
      <c r="F44" s="205">
        <f>ROUND(F60-F41,2)</f>
        <v>0.05</v>
      </c>
      <c r="G44" s="206">
        <f>G60-G41</f>
        <v>14356.48</v>
      </c>
      <c r="H44" s="159">
        <f>H60-H41</f>
        <v>3450</v>
      </c>
      <c r="I44" s="159">
        <f>I60-I41</f>
        <v>2950.3800368000002</v>
      </c>
      <c r="J44" s="159">
        <f>SUM(G44:I44)</f>
        <v>20756.860036800001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47.7%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0.05</v>
      </c>
      <c r="G45" s="206">
        <f>G67-G41-G63</f>
        <v>14356.48</v>
      </c>
      <c r="H45" s="206">
        <f>H67-H41-H63</f>
        <v>3450</v>
      </c>
      <c r="I45" s="206">
        <f>I67-I41-I63</f>
        <v>2950.3800368000002</v>
      </c>
      <c r="J45" s="159">
        <f>SUM(G45:I45)</f>
        <v>20756.860036800001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47.7%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50" t="s">
        <v>98</v>
      </c>
      <c r="F46" s="451"/>
      <c r="G46" s="451"/>
      <c r="H46" s="451"/>
      <c r="I46" s="451"/>
      <c r="J46" s="452"/>
      <c r="K46" s="456" t="str">
        <f>IF(OR(J45&lt;0,F45&lt;0),"You may not have sufficient funding or authorized FTP, and may need to make additional adjustments to finalize this form.  Please contact both your DFM and LSO analysts.","")</f>
        <v/>
      </c>
      <c r="L46" s="457"/>
      <c r="M46" s="457"/>
      <c r="N46" s="45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53"/>
      <c r="F47" s="454"/>
      <c r="G47" s="454"/>
      <c r="H47" s="454"/>
      <c r="I47" s="454"/>
      <c r="J47" s="455"/>
      <c r="K47" s="459"/>
      <c r="L47" s="460"/>
      <c r="M47" s="460"/>
      <c r="N47" s="46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62"/>
      <c r="D50" s="46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43500</v>
      </c>
      <c r="F51" s="272">
        <f>AppropFTP</f>
        <v>0.35</v>
      </c>
      <c r="G51" s="274">
        <f>IF(E51=0,0,(G41/$J$41)*$E$51)</f>
        <v>30112.074282976071</v>
      </c>
      <c r="H51" s="274">
        <f>IF(E51=0,0,(H41/$J$41)*$E$51)</f>
        <v>7172.492464274842</v>
      </c>
      <c r="I51" s="275">
        <f>IF(E51=0,0,(I41/$J$41)*$E$51)</f>
        <v>6215.4332527490897</v>
      </c>
      <c r="J51" s="90">
        <f>SUM(G51:I51)</f>
        <v>43500.000000000007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0.35</v>
      </c>
      <c r="G52" s="79">
        <f>ROUND(G51,-2)</f>
        <v>30100</v>
      </c>
      <c r="H52" s="79">
        <f>ROUND(H51,-2)</f>
        <v>7200</v>
      </c>
      <c r="I52" s="266">
        <f>ROUND(I51,-2)</f>
        <v>6200</v>
      </c>
      <c r="J52" s="80">
        <f>ROUND(J51,-2)</f>
        <v>43500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64" t="s">
        <v>47</v>
      </c>
      <c r="D53" s="46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42" t="s">
        <v>48</v>
      </c>
      <c r="D54" s="44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8" t="s">
        <v>49</v>
      </c>
      <c r="D55" s="46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0.35</v>
      </c>
      <c r="G56" s="80">
        <f>SUM(G52:G55)</f>
        <v>30100</v>
      </c>
      <c r="H56" s="80">
        <f>SUM(H52:H55)</f>
        <v>7200</v>
      </c>
      <c r="I56" s="260">
        <f>SUM(I52:I55)</f>
        <v>6200</v>
      </c>
      <c r="J56" s="80">
        <f>SUM(J52:J55)</f>
        <v>43500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66" t="s">
        <v>51</v>
      </c>
      <c r="D57" s="470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71" t="s">
        <v>116</v>
      </c>
      <c r="D58" s="472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71" t="s">
        <v>52</v>
      </c>
      <c r="D59" s="47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0.35</v>
      </c>
      <c r="G60" s="80">
        <f>SUM(G56:G59)</f>
        <v>30100</v>
      </c>
      <c r="H60" s="80">
        <f>SUM(H56:H59)</f>
        <v>7200</v>
      </c>
      <c r="I60" s="260">
        <f>SUM(I56:I59)</f>
        <v>6200</v>
      </c>
      <c r="J60" s="80">
        <f>SUM(J56:J59)</f>
        <v>43500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66" t="s">
        <v>54</v>
      </c>
      <c r="D61" s="470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42" t="s">
        <v>65</v>
      </c>
      <c r="D62" s="44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42" t="s">
        <v>55</v>
      </c>
      <c r="D63" s="44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73" t="s">
        <v>56</v>
      </c>
      <c r="D64" s="474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75"/>
      <c r="D65" s="47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77"/>
      <c r="D66" s="478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0.35</v>
      </c>
      <c r="G67" s="80">
        <f>SUM(G60:G64)</f>
        <v>30100</v>
      </c>
      <c r="H67" s="80">
        <f>SUM(H60:H64)</f>
        <v>7200</v>
      </c>
      <c r="I67" s="80">
        <f>SUM(I60:I64)</f>
        <v>6200</v>
      </c>
      <c r="J67" s="80">
        <f>SUM(J60:J64)</f>
        <v>43500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66" t="s">
        <v>58</v>
      </c>
      <c r="D68" s="467"/>
      <c r="E68" s="112"/>
      <c r="F68" s="288"/>
      <c r="G68" s="287"/>
      <c r="H68" s="113">
        <f>IF(DUNine=0,0,ROUND(SUM(L41:L65),-2))</f>
        <v>400</v>
      </c>
      <c r="I68" s="113"/>
      <c r="J68" s="287">
        <f>SUM(G68:I68)</f>
        <v>400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66" t="s">
        <v>59</v>
      </c>
      <c r="D69" s="467"/>
      <c r="E69" s="112"/>
      <c r="F69" s="288"/>
      <c r="G69" s="113"/>
      <c r="H69" s="113"/>
      <c r="I69" s="113">
        <f>IF(DUNine=0,0,ROUND(SUM(M41:M64),-2))</f>
        <v>-100</v>
      </c>
      <c r="J69" s="287">
        <f>SUM(G69:I69)</f>
        <v>-100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81"/>
      <c r="D70" s="482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42" t="s">
        <v>60</v>
      </c>
      <c r="D71" s="44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42" t="s">
        <v>99</v>
      </c>
      <c r="D72" s="483"/>
      <c r="E72" s="290">
        <f>CECPerm</f>
        <v>0.01</v>
      </c>
      <c r="F72" s="288"/>
      <c r="G72" s="356">
        <f>IF(DUNine=0,0,IF(DUNine&lt;0,0,ROUND(AdjPermSalary*CECPerm,-2)))</f>
        <v>200</v>
      </c>
      <c r="H72" s="287"/>
      <c r="I72" s="287">
        <f>ROUND(($G72*PermVBBY+$G72*Retire1BY),-2)</f>
        <v>0</v>
      </c>
      <c r="J72" s="113">
        <f>SUM(G72:I72)</f>
        <v>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42" t="s">
        <v>117</v>
      </c>
      <c r="D73" s="483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0.35</v>
      </c>
      <c r="G75" s="80">
        <f>SUM(G67:G74)</f>
        <v>30300</v>
      </c>
      <c r="H75" s="80">
        <f>SUM(H67:H74)</f>
        <v>7600</v>
      </c>
      <c r="I75" s="80">
        <f>SUM(I67:I74)</f>
        <v>6100</v>
      </c>
      <c r="J75" s="80">
        <f>SUM(J67:K74)</f>
        <v>44000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84" t="s">
        <v>63</v>
      </c>
      <c r="D76" s="485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9"/>
      <c r="D77" s="480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9"/>
      <c r="D78" s="480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9"/>
      <c r="D79" s="480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0.35</v>
      </c>
      <c r="G80" s="80">
        <f>SUM(G75:G79)</f>
        <v>30300</v>
      </c>
      <c r="H80" s="80">
        <f>SUM(H75:H79)</f>
        <v>7600</v>
      </c>
      <c r="I80" s="80">
        <f>SUM(I75:I79)</f>
        <v>6100</v>
      </c>
      <c r="J80" s="80">
        <f>SUM(J75:J79)</f>
        <v>44000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6" priority="8">
      <formula>$J$44&lt;0</formula>
    </cfRule>
  </conditionalFormatting>
  <conditionalFormatting sqref="K43">
    <cfRule type="expression" dxfId="35" priority="7">
      <formula>$J$43&lt;0</formula>
    </cfRule>
  </conditionalFormatting>
  <conditionalFormatting sqref="L16">
    <cfRule type="expression" dxfId="34" priority="6">
      <formula>$J$16&lt;0</formula>
    </cfRule>
  </conditionalFormatting>
  <conditionalFormatting sqref="K45">
    <cfRule type="expression" dxfId="33" priority="5">
      <formula>$J$44&lt;0</formula>
    </cfRule>
  </conditionalFormatting>
  <conditionalFormatting sqref="K43:N45">
    <cfRule type="containsText" dxfId="32" priority="4" operator="containsText" text="underfunding">
      <formula>NOT(ISERROR(SEARCH("underfunding",K43)))</formula>
    </cfRule>
  </conditionalFormatting>
  <conditionalFormatting sqref="K44">
    <cfRule type="expression" dxfId="31" priority="3">
      <formula>$J$44&lt;0</formula>
    </cfRule>
  </conditionalFormatting>
  <conditionalFormatting sqref="K45">
    <cfRule type="expression" dxfId="30" priority="2">
      <formula>$J$44&lt;0</formula>
    </cfRule>
  </conditionalFormatting>
  <conditionalFormatting sqref="K45">
    <cfRule type="expression" dxfId="2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647875-49F2-4196-9809-98F6012523A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3B82-F6C2-49B7-978A-792B727BEE02}">
  <sheetPr codeName="Sheet8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359</v>
      </c>
      <c r="E1" s="15"/>
      <c r="F1" s="15"/>
      <c r="G1" s="15"/>
      <c r="H1" s="15"/>
      <c r="I1" s="15"/>
      <c r="J1" s="15"/>
      <c r="K1" s="15"/>
      <c r="L1" s="16" t="s">
        <v>14</v>
      </c>
      <c r="M1" s="416">
        <v>180</v>
      </c>
      <c r="N1" s="417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360</v>
      </c>
      <c r="E2" s="21"/>
      <c r="F2" s="21"/>
      <c r="G2" s="21"/>
      <c r="H2" s="21"/>
      <c r="I2" s="21"/>
      <c r="J2" s="20"/>
      <c r="K2" s="20"/>
      <c r="L2" s="22" t="s">
        <v>111</v>
      </c>
      <c r="M2" s="418" t="s">
        <v>375</v>
      </c>
      <c r="N2" s="419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360</v>
      </c>
      <c r="E3" s="24"/>
      <c r="F3" s="25"/>
      <c r="G3" s="25"/>
      <c r="H3" s="25"/>
      <c r="I3" s="26"/>
      <c r="J3" s="20"/>
      <c r="K3" s="20"/>
      <c r="L3" s="22" t="s">
        <v>112</v>
      </c>
      <c r="M3" s="416" t="s">
        <v>168</v>
      </c>
      <c r="N3" s="417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16">
        <v>2024</v>
      </c>
      <c r="N4" s="417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8" t="s">
        <v>373</v>
      </c>
      <c r="J5" s="420"/>
      <c r="K5" s="420"/>
      <c r="L5" s="419"/>
      <c r="M5" s="352" t="s">
        <v>113</v>
      </c>
      <c r="N5" s="32" t="s">
        <v>374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21" t="s">
        <v>22</v>
      </c>
      <c r="D8" s="422"/>
      <c r="E8" s="371" t="s">
        <v>23</v>
      </c>
      <c r="F8" s="49" t="s">
        <v>24</v>
      </c>
      <c r="G8" s="50" t="str">
        <f>"FY "&amp;'GVCA|0475-05'!FiscalYear-1&amp;" SALARY"</f>
        <v>FY 2023 SALARY</v>
      </c>
      <c r="H8" s="50" t="str">
        <f>"FY "&amp;'GVCA|0475-05'!FiscalYear-1&amp;" HEALTH BENEFITS"</f>
        <v>FY 2023 HEALTH BENEFITS</v>
      </c>
      <c r="I8" s="50" t="str">
        <f>"FY "&amp;'GVCA|0475-05'!FiscalYear-1&amp;" VAR BENEFITS"</f>
        <v>FY 2023 VAR BENEFITS</v>
      </c>
      <c r="J8" s="50" t="str">
        <f>"FY "&amp;'GVCA|0475-05'!FiscalYear-1&amp;" TOTAL"</f>
        <v>FY 2023 TOTAL</v>
      </c>
      <c r="K8" s="50" t="str">
        <f>"FY "&amp;'GVCA|0475-05'!FiscalYear&amp;" SALARY CHANGE"</f>
        <v>FY 2024 SALARY CHANGE</v>
      </c>
      <c r="L8" s="50" t="str">
        <f>"FY "&amp;'GVCA|0475-05'!FiscalYear&amp;" CHG HEALTH BENEFITS"</f>
        <v>FY 2024 CHG HEALTH BENEFITS</v>
      </c>
      <c r="M8" s="50" t="str">
        <f>"FY "&amp;'GVCA|0475-05'!FiscalYear&amp;"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23" t="s">
        <v>103</v>
      </c>
      <c r="AB8" s="423"/>
      <c r="AC8" s="42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24" t="s">
        <v>26</v>
      </c>
      <c r="D9" s="42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14" t="s">
        <v>27</v>
      </c>
      <c r="D10" s="415"/>
      <c r="E10" s="217">
        <v>1</v>
      </c>
      <c r="F10" s="288">
        <f>[0]!GVCA047505col_INC_FTI</f>
        <v>2</v>
      </c>
      <c r="G10" s="218">
        <f>[0]!GVCA047505col_FTI_SALARY_PERM</f>
        <v>141544</v>
      </c>
      <c r="H10" s="218">
        <f>[0]!GVCA047505col_HEALTH_PERM</f>
        <v>25000</v>
      </c>
      <c r="I10" s="218">
        <f>[0]!GVCA047505col_TOT_VB_PERM</f>
        <v>29216.097040000001</v>
      </c>
      <c r="J10" s="219">
        <f>SUM(G10:I10)</f>
        <v>195760.09703999999</v>
      </c>
      <c r="K10" s="219">
        <f>[0]!GVCA047505col_1_27TH_PP</f>
        <v>0</v>
      </c>
      <c r="L10" s="218">
        <f>[0]!GVCA047505col_HEALTH_PERM_CHG</f>
        <v>2500</v>
      </c>
      <c r="M10" s="218">
        <f>[0]!GVCA047505col_TOT_VB_PERM_CHG</f>
        <v>-1231.4328000000014</v>
      </c>
      <c r="N10" s="218">
        <f>SUM(L10:M10)</f>
        <v>1268.5671999999986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1400</v>
      </c>
      <c r="AB10" s="335">
        <f>ROUND(PermVarBen*CECPerm+(CECPerm*PermVarBenChg),-2)</f>
        <v>300</v>
      </c>
      <c r="AC10" s="335">
        <f>SUM(AA10:AB10)</f>
        <v>1700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14" t="s">
        <v>28</v>
      </c>
      <c r="D11" s="415"/>
      <c r="E11" s="217">
        <v>2</v>
      </c>
      <c r="F11" s="288"/>
      <c r="G11" s="218">
        <f>[0]!GVCA047505col_Group_Salary</f>
        <v>0</v>
      </c>
      <c r="H11" s="218">
        <v>0</v>
      </c>
      <c r="I11" s="218">
        <f>[0]!GVCA047505col_Group_Ben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14" t="s">
        <v>29</v>
      </c>
      <c r="D12" s="426"/>
      <c r="E12" s="217">
        <v>3</v>
      </c>
      <c r="F12" s="288">
        <f>[0]!GVCA047505col_TOTAL_ELECT_PCN_FTI</f>
        <v>0</v>
      </c>
      <c r="G12" s="218">
        <f>[0]!GVCA047505col_FTI_SALARY_ELECT</f>
        <v>0</v>
      </c>
      <c r="H12" s="218">
        <f>[0]!GVCA047505col_HEALTH_ELECT</f>
        <v>0</v>
      </c>
      <c r="I12" s="218">
        <f>[0]!GVCA047505col_TOT_VB_ELECT</f>
        <v>0</v>
      </c>
      <c r="J12" s="219">
        <f>SUM(G12:I12)</f>
        <v>0</v>
      </c>
      <c r="K12" s="268"/>
      <c r="L12" s="218">
        <f>[0]!GVCA047505col_HEALTH_ELECT_CHG</f>
        <v>0</v>
      </c>
      <c r="M12" s="218">
        <f>[0]!GVCA047505col_TOT_VB_ELECT_CHG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14" t="s">
        <v>30</v>
      </c>
      <c r="D13" s="415"/>
      <c r="E13" s="217"/>
      <c r="F13" s="220">
        <f>SUM(F10:F12)</f>
        <v>2</v>
      </c>
      <c r="G13" s="221">
        <f>SUM(G10:G12)</f>
        <v>141544</v>
      </c>
      <c r="H13" s="221">
        <f>SUM(H10:H12)</f>
        <v>25000</v>
      </c>
      <c r="I13" s="221">
        <f>SUM(I10:I12)</f>
        <v>29216.097040000001</v>
      </c>
      <c r="J13" s="219">
        <f>SUM(G13:I13)</f>
        <v>195760.09703999999</v>
      </c>
      <c r="K13" s="268"/>
      <c r="L13" s="219">
        <f>SUM(L10:L12)</f>
        <v>2500</v>
      </c>
      <c r="M13" s="219">
        <f>SUM(M10:M12)</f>
        <v>-1231.4328000000014</v>
      </c>
      <c r="N13" s="219">
        <f>SUM(N10:N12)</f>
        <v>1268.5671999999986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"&amp;'GVCA|0475-05'!FiscalYear-1</f>
        <v>FY 2023</v>
      </c>
      <c r="D15" s="158" t="s">
        <v>31</v>
      </c>
      <c r="E15" s="355">
        <v>414100</v>
      </c>
      <c r="F15" s="55">
        <v>4</v>
      </c>
      <c r="G15" s="223">
        <f>IF(OrigApprop=0,0,(G13/$J$13)*OrigApprop)</f>
        <v>299414.28966508649</v>
      </c>
      <c r="H15" s="223">
        <f>IF(OrigApprop=0,0,(H13/$J$13)*OrigApprop)</f>
        <v>52883.606805143005</v>
      </c>
      <c r="I15" s="223">
        <f>IF(G15=0,0,(I13/$J$13)*OrigApprop)</f>
        <v>61802.103529770502</v>
      </c>
      <c r="J15" s="223">
        <f>SUM(G15:I15)</f>
        <v>414100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32" t="s">
        <v>32</v>
      </c>
      <c r="D16" s="433"/>
      <c r="E16" s="160" t="s">
        <v>33</v>
      </c>
      <c r="F16" s="161">
        <f>F15-F13</f>
        <v>2</v>
      </c>
      <c r="G16" s="162">
        <f>G15-G13</f>
        <v>157870.28966508649</v>
      </c>
      <c r="H16" s="162">
        <f>H15-H13</f>
        <v>27883.606805143005</v>
      </c>
      <c r="I16" s="162">
        <f>I15-I13</f>
        <v>32586.006489770502</v>
      </c>
      <c r="J16" s="162">
        <f>J15-J13</f>
        <v>218339.90296000001</v>
      </c>
      <c r="K16" s="269"/>
      <c r="L16" s="56" t="str">
        <f>IF('GVCA|0475-05'!OrigApprop=0,"No Original Appropriation amount in DU 3.00 for this fund","Calculated "&amp;IF('GVCA|0475-05'!AdjustedTotal&gt;0,"overfunding ","underfunding ")&amp;"is "&amp;TEXT('GVCA|0475-05'!AdjustedTotal/'GVCA|0475-05'!AppropTotal,"#.0%;(#.0% );0% ;")&amp;" of Original Appropriation")</f>
        <v>Calculated overfunding is 52.7%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34" t="s">
        <v>34</v>
      </c>
      <c r="D17" s="43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36" t="s">
        <v>35</v>
      </c>
      <c r="D18" s="43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8" t="s">
        <v>37</v>
      </c>
      <c r="D37" s="43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40" t="s">
        <v>105</v>
      </c>
      <c r="AB37" s="441"/>
      <c r="AC37" s="44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14" t="str">
        <f>perm_name</f>
        <v>Permanent Positions</v>
      </c>
      <c r="D38" s="426"/>
      <c r="E38" s="189">
        <v>1</v>
      </c>
      <c r="F38" s="190">
        <f>SUMIF($E9:$E35,$E38,$F9:$F35)</f>
        <v>2</v>
      </c>
      <c r="G38" s="191">
        <f>SUMIF($E10:$E35,$E38,$G10:$G35)</f>
        <v>141544</v>
      </c>
      <c r="H38" s="192">
        <f>SUMIF($E10:$E35,$E38,$H10:$H35)</f>
        <v>25000</v>
      </c>
      <c r="I38" s="192">
        <f>SUMIF($E10:$E35,$E38,$I10:$I35)</f>
        <v>29216.097040000001</v>
      </c>
      <c r="J38" s="192">
        <f>SUM(G38:I38)</f>
        <v>195760.09703999999</v>
      </c>
      <c r="K38" s="166"/>
      <c r="L38" s="191">
        <f>SUMIF($E10:$E35,$E38,$L10:$L35)</f>
        <v>2500</v>
      </c>
      <c r="M38" s="192">
        <f>SUMIF($E10:$E35,$E38,$M10:$M35)</f>
        <v>-1231.4328000000014</v>
      </c>
      <c r="N38" s="192">
        <f>SUM(L38:M38)</f>
        <v>1268.5671999999986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1400</v>
      </c>
      <c r="AB38" s="338">
        <f>ROUND((AdjPermVB*CECPerm+AdjPermVBBY*CECPerm),-2)</f>
        <v>300</v>
      </c>
      <c r="AC38" s="338">
        <f>SUM(AA38:AB38)</f>
        <v>1700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14" t="str">
        <f>Group_name</f>
        <v>Board &amp; Group Positions</v>
      </c>
      <c r="D39" s="42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14" t="s">
        <v>38</v>
      </c>
      <c r="D41" s="426"/>
      <c r="E41" s="189"/>
      <c r="F41" s="161">
        <f>SUM(F38:F40)</f>
        <v>2</v>
      </c>
      <c r="G41" s="195">
        <f>SUM($G$38:$G$40)</f>
        <v>141544</v>
      </c>
      <c r="H41" s="162">
        <f>SUM($H$38:$H$40)</f>
        <v>25000</v>
      </c>
      <c r="I41" s="162">
        <f>SUM($I$38:$I$40)</f>
        <v>29216.097040000001</v>
      </c>
      <c r="J41" s="162">
        <f>SUM($J$38:$J$40)</f>
        <v>195760.09703999999</v>
      </c>
      <c r="K41" s="259"/>
      <c r="L41" s="195">
        <f>SUM($L$38:$L$40)</f>
        <v>2500</v>
      </c>
      <c r="M41" s="162">
        <f>SUM($M$38:$M$40)</f>
        <v>-1231.4328000000014</v>
      </c>
      <c r="N41" s="162">
        <f>SUM(L41:M41)</f>
        <v>1268.5671999999986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4"/>
      <c r="D42" s="44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6" t="s">
        <v>39</v>
      </c>
      <c r="D43" s="447"/>
      <c r="E43" s="203" t="s">
        <v>40</v>
      </c>
      <c r="F43" s="205">
        <f>ROUND(F51-F41,2)</f>
        <v>2</v>
      </c>
      <c r="G43" s="206">
        <f>G51-G41</f>
        <v>157870.28966508649</v>
      </c>
      <c r="H43" s="159">
        <f>H51-H41</f>
        <v>27883.606805143005</v>
      </c>
      <c r="I43" s="159">
        <f>I51-I41</f>
        <v>32586.006489770502</v>
      </c>
      <c r="J43" s="159">
        <f>SUM(G43:I43)</f>
        <v>218339.90295999998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52.7%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30" t="s">
        <v>106</v>
      </c>
      <c r="AB43" s="431"/>
      <c r="AC43" s="43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8"/>
      <c r="D44" s="449"/>
      <c r="E44" s="204" t="s">
        <v>41</v>
      </c>
      <c r="F44" s="205">
        <f>ROUND(F60-F41,2)</f>
        <v>2</v>
      </c>
      <c r="G44" s="206">
        <f>G60-G41</f>
        <v>157856</v>
      </c>
      <c r="H44" s="159">
        <f>H60-H41</f>
        <v>27900</v>
      </c>
      <c r="I44" s="159">
        <f>I60-I41</f>
        <v>32583.902959999999</v>
      </c>
      <c r="J44" s="159">
        <f>SUM(G44:I44)</f>
        <v>218339.90296000001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52.7%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2</v>
      </c>
      <c r="G45" s="206">
        <f>G67-G41-G63</f>
        <v>157856</v>
      </c>
      <c r="H45" s="206">
        <f>H67-H41-H63</f>
        <v>27900</v>
      </c>
      <c r="I45" s="206">
        <f>I67-I41-I63</f>
        <v>32583.902959999999</v>
      </c>
      <c r="J45" s="159">
        <f>SUM(G45:I45)</f>
        <v>218339.90296000001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52.7%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50" t="s">
        <v>98</v>
      </c>
      <c r="F46" s="451"/>
      <c r="G46" s="451"/>
      <c r="H46" s="451"/>
      <c r="I46" s="451"/>
      <c r="J46" s="452"/>
      <c r="K46" s="456" t="str">
        <f>IF(OR(J45&lt;0,F45&lt;0),"You may not have sufficient funding or authorized FTP, and may need to make additional adjustments to finalize this form.  Please contact both your DFM and LSO analysts.","")</f>
        <v/>
      </c>
      <c r="L46" s="457"/>
      <c r="M46" s="457"/>
      <c r="N46" s="45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53"/>
      <c r="F47" s="454"/>
      <c r="G47" s="454"/>
      <c r="H47" s="454"/>
      <c r="I47" s="454"/>
      <c r="J47" s="455"/>
      <c r="K47" s="459"/>
      <c r="L47" s="460"/>
      <c r="M47" s="460"/>
      <c r="N47" s="46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62"/>
      <c r="D50" s="46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414100</v>
      </c>
      <c r="F51" s="272">
        <f>AppropFTP</f>
        <v>4</v>
      </c>
      <c r="G51" s="274">
        <f>IF(E51=0,0,(G41/$J$41)*$E$51)</f>
        <v>299414.28966508649</v>
      </c>
      <c r="H51" s="274">
        <f>IF(E51=0,0,(H41/$J$41)*$E$51)</f>
        <v>52883.606805143005</v>
      </c>
      <c r="I51" s="275">
        <f>IF(E51=0,0,(I41/$J$41)*$E$51)</f>
        <v>61802.103529770502</v>
      </c>
      <c r="J51" s="90">
        <f>SUM(G51:I51)</f>
        <v>414100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4</v>
      </c>
      <c r="G52" s="79">
        <f>ROUND(G51,-2)</f>
        <v>299400</v>
      </c>
      <c r="H52" s="79">
        <f>ROUND(H51,-2)</f>
        <v>52900</v>
      </c>
      <c r="I52" s="266">
        <f>ROUND(I51,-2)</f>
        <v>61800</v>
      </c>
      <c r="J52" s="80">
        <f>ROUND(J51,-2)</f>
        <v>414100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64" t="s">
        <v>47</v>
      </c>
      <c r="D53" s="46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42" t="s">
        <v>48</v>
      </c>
      <c r="D54" s="44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8" t="s">
        <v>49</v>
      </c>
      <c r="D55" s="46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4</v>
      </c>
      <c r="G56" s="80">
        <f>SUM(G52:G55)</f>
        <v>299400</v>
      </c>
      <c r="H56" s="80">
        <f>SUM(H52:H55)</f>
        <v>52900</v>
      </c>
      <c r="I56" s="260">
        <f>SUM(I52:I55)</f>
        <v>61800</v>
      </c>
      <c r="J56" s="80">
        <f>SUM(J52:J55)</f>
        <v>414100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66" t="s">
        <v>51</v>
      </c>
      <c r="D57" s="470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71" t="s">
        <v>116</v>
      </c>
      <c r="D58" s="472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71" t="s">
        <v>52</v>
      </c>
      <c r="D59" s="47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4</v>
      </c>
      <c r="G60" s="80">
        <f>SUM(G56:G59)</f>
        <v>299400</v>
      </c>
      <c r="H60" s="80">
        <f>SUM(H56:H59)</f>
        <v>52900</v>
      </c>
      <c r="I60" s="260">
        <f>SUM(I56:I59)</f>
        <v>61800</v>
      </c>
      <c r="J60" s="80">
        <f>SUM(J56:J59)</f>
        <v>414100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66" t="s">
        <v>54</v>
      </c>
      <c r="D61" s="470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42" t="s">
        <v>65</v>
      </c>
      <c r="D62" s="44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42" t="s">
        <v>55</v>
      </c>
      <c r="D63" s="44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73" t="s">
        <v>56</v>
      </c>
      <c r="D64" s="474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75"/>
      <c r="D65" s="47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77"/>
      <c r="D66" s="478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4</v>
      </c>
      <c r="G67" s="80">
        <f>SUM(G60:G64)</f>
        <v>299400</v>
      </c>
      <c r="H67" s="80">
        <f>SUM(H60:H64)</f>
        <v>52900</v>
      </c>
      <c r="I67" s="80">
        <f>SUM(I60:I64)</f>
        <v>61800</v>
      </c>
      <c r="J67" s="80">
        <f>SUM(J60:J64)</f>
        <v>414100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66" t="s">
        <v>58</v>
      </c>
      <c r="D68" s="467"/>
      <c r="E68" s="112"/>
      <c r="F68" s="288"/>
      <c r="G68" s="287"/>
      <c r="H68" s="113">
        <f>IF(DUNine=0,0,ROUND(SUM(L41:L65),-2))</f>
        <v>2500</v>
      </c>
      <c r="I68" s="113"/>
      <c r="J68" s="287">
        <f>SUM(G68:I68)</f>
        <v>2500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66" t="s">
        <v>59</v>
      </c>
      <c r="D69" s="467"/>
      <c r="E69" s="112"/>
      <c r="F69" s="288"/>
      <c r="G69" s="113"/>
      <c r="H69" s="113"/>
      <c r="I69" s="113">
        <f>IF(DUNine=0,0,ROUND(SUM(M41:M64),-2))</f>
        <v>-1200</v>
      </c>
      <c r="J69" s="287">
        <f>SUM(G69:I69)</f>
        <v>-1200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81"/>
      <c r="D70" s="482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42" t="s">
        <v>60</v>
      </c>
      <c r="D71" s="44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42" t="s">
        <v>99</v>
      </c>
      <c r="D72" s="483"/>
      <c r="E72" s="290">
        <f>CECPerm</f>
        <v>0.01</v>
      </c>
      <c r="F72" s="288"/>
      <c r="G72" s="356">
        <f>IF(DUNine=0,0,IF(DUNine&lt;0,0,ROUND(AdjPermSalary*CECPerm,-2)))</f>
        <v>1400</v>
      </c>
      <c r="H72" s="287"/>
      <c r="I72" s="287">
        <f>ROUND(($G72*PermVBBY+$G72*Retire1BY),-2)</f>
        <v>300</v>
      </c>
      <c r="J72" s="113">
        <f>SUM(G72:I72)</f>
        <v>1700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42" t="s">
        <v>117</v>
      </c>
      <c r="D73" s="483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4</v>
      </c>
      <c r="G75" s="80">
        <f>SUM(G67:G74)</f>
        <v>300800</v>
      </c>
      <c r="H75" s="80">
        <f>SUM(H67:H74)</f>
        <v>55400</v>
      </c>
      <c r="I75" s="80">
        <f>SUM(I67:I74)</f>
        <v>60900</v>
      </c>
      <c r="J75" s="80">
        <f>SUM(J67:K74)</f>
        <v>417100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84" t="s">
        <v>63</v>
      </c>
      <c r="D76" s="485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9"/>
      <c r="D77" s="480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9"/>
      <c r="D78" s="480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9"/>
      <c r="D79" s="480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4</v>
      </c>
      <c r="G80" s="80">
        <f>SUM(G75:G79)</f>
        <v>300800</v>
      </c>
      <c r="H80" s="80">
        <f>SUM(H75:H79)</f>
        <v>55400</v>
      </c>
      <c r="I80" s="80">
        <f>SUM(I75:I79)</f>
        <v>60900</v>
      </c>
      <c r="J80" s="80">
        <f>SUM(J75:J79)</f>
        <v>417100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8" priority="8">
      <formula>$J$44&lt;0</formula>
    </cfRule>
  </conditionalFormatting>
  <conditionalFormatting sqref="K43">
    <cfRule type="expression" dxfId="27" priority="7">
      <formula>$J$43&lt;0</formula>
    </cfRule>
  </conditionalFormatting>
  <conditionalFormatting sqref="L16">
    <cfRule type="expression" dxfId="26" priority="6">
      <formula>$J$16&lt;0</formula>
    </cfRule>
  </conditionalFormatting>
  <conditionalFormatting sqref="K45">
    <cfRule type="expression" dxfId="25" priority="5">
      <formula>$J$44&lt;0</formula>
    </cfRule>
  </conditionalFormatting>
  <conditionalFormatting sqref="K43:N45">
    <cfRule type="containsText" dxfId="24" priority="4" operator="containsText" text="underfunding">
      <formula>NOT(ISERROR(SEARCH("underfunding",K43)))</formula>
    </cfRule>
  </conditionalFormatting>
  <conditionalFormatting sqref="K44">
    <cfRule type="expression" dxfId="23" priority="3">
      <formula>$J$44&lt;0</formula>
    </cfRule>
  </conditionalFormatting>
  <conditionalFormatting sqref="K45">
    <cfRule type="expression" dxfId="22" priority="2">
      <formula>$J$44&lt;0</formula>
    </cfRule>
  </conditionalFormatting>
  <conditionalFormatting sqref="K45">
    <cfRule type="expression" dxfId="2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D1760E-6DF1-437E-A67D-3ED6BA1ECBE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0EF5-F0D6-41DE-B510-4DC096E9FB97}">
  <sheetPr>
    <pageSetUpPr fitToPage="1"/>
  </sheetPr>
  <dimension ref="A1:CP80"/>
  <sheetViews>
    <sheetView showGridLines="0" zoomScaleNormal="100" workbookViewId="0">
      <selection activeCell="I21" sqref="I21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359</v>
      </c>
      <c r="E1" s="15"/>
      <c r="F1" s="15"/>
      <c r="G1" s="15"/>
      <c r="H1" s="15"/>
      <c r="I1" s="15"/>
      <c r="J1" s="15"/>
      <c r="K1" s="15"/>
      <c r="L1" s="16" t="s">
        <v>14</v>
      </c>
      <c r="M1" s="416">
        <v>180</v>
      </c>
      <c r="N1" s="417"/>
      <c r="AA1" s="411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360</v>
      </c>
      <c r="E2" s="21"/>
      <c r="F2" s="21"/>
      <c r="G2" s="21"/>
      <c r="H2" s="21"/>
      <c r="I2" s="21"/>
      <c r="J2" s="20"/>
      <c r="K2" s="20"/>
      <c r="L2" s="22" t="s">
        <v>111</v>
      </c>
      <c r="M2" s="418" t="s">
        <v>392</v>
      </c>
      <c r="N2" s="419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360</v>
      </c>
      <c r="E3" s="24"/>
      <c r="F3" s="25"/>
      <c r="G3" s="25"/>
      <c r="H3" s="25"/>
      <c r="I3" s="26"/>
      <c r="J3" s="20"/>
      <c r="K3" s="20"/>
      <c r="L3" s="22" t="s">
        <v>112</v>
      </c>
      <c r="M3" s="416" t="s">
        <v>168</v>
      </c>
      <c r="N3" s="417"/>
      <c r="AA3" s="411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16">
        <v>2024</v>
      </c>
      <c r="N4" s="417"/>
      <c r="AA4" s="411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8" t="s">
        <v>393</v>
      </c>
      <c r="J5" s="420"/>
      <c r="K5" s="420"/>
      <c r="L5" s="419"/>
      <c r="M5" s="352" t="s">
        <v>113</v>
      </c>
      <c r="N5" s="32" t="s">
        <v>391</v>
      </c>
      <c r="O5"/>
      <c r="P5"/>
      <c r="Q5"/>
      <c r="R5"/>
      <c r="S5"/>
      <c r="T5"/>
      <c r="U5"/>
      <c r="V5"/>
      <c r="W5"/>
      <c r="X5"/>
      <c r="Y5"/>
      <c r="Z5" s="344"/>
      <c r="AA5" s="411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411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413" t="s">
        <v>21</v>
      </c>
      <c r="C8" s="421" t="s">
        <v>22</v>
      </c>
      <c r="D8" s="422"/>
      <c r="E8" s="413" t="s">
        <v>23</v>
      </c>
      <c r="F8" s="49" t="s">
        <v>24</v>
      </c>
      <c r="G8" s="50" t="str">
        <f>"FY "&amp;'GVCA|0344-30'!FiscalYear-1&amp;" SALARY"</f>
        <v>FY 2023 SALARY</v>
      </c>
      <c r="H8" s="50" t="str">
        <f>"FY "&amp;'GVCA|0344-30'!FiscalYear-1&amp;" HEALTH BENEFITS"</f>
        <v>FY 2023 HEALTH BENEFITS</v>
      </c>
      <c r="I8" s="50" t="str">
        <f>"FY "&amp;'GVCA|0344-30'!FiscalYear-1&amp;" VAR BENEFITS"</f>
        <v>FY 2023 VAR BENEFITS</v>
      </c>
      <c r="J8" s="50" t="str">
        <f>"FY "&amp;'GVCA|0344-30'!FiscalYear-1&amp;" TOTAL"</f>
        <v>FY 2023 TOTAL</v>
      </c>
      <c r="K8" s="50" t="str">
        <f>"FY "&amp;'GVCA|0344-30'!FiscalYear&amp;" SALARY CHANGE"</f>
        <v>FY 2024 SALARY CHANGE</v>
      </c>
      <c r="L8" s="50" t="str">
        <f>"FY "&amp;'GVCA|0344-30'!FiscalYear&amp;" CHG HEALTH BENEFITS"</f>
        <v>FY 2024 CHG HEALTH BENEFITS</v>
      </c>
      <c r="M8" s="50" t="str">
        <f>"FY "&amp;'GVCA|0344-30'!FiscalYear&amp;"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23" t="s">
        <v>103</v>
      </c>
      <c r="AB8" s="423"/>
      <c r="AC8" s="42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24" t="s">
        <v>26</v>
      </c>
      <c r="D9" s="42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411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14" t="s">
        <v>27</v>
      </c>
      <c r="D10" s="415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f>[0]!GVCA047505col_1_27TH_PP</f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14" t="s">
        <v>28</v>
      </c>
      <c r="D11" s="415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14" t="s">
        <v>29</v>
      </c>
      <c r="D12" s="426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14" t="s">
        <v>30</v>
      </c>
      <c r="D13" s="415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409"/>
      <c r="D14" s="41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"&amp;'GVCA|0344-30'!FiscalYear-1</f>
        <v>FY 2023</v>
      </c>
      <c r="D15" s="158" t="s">
        <v>31</v>
      </c>
      <c r="E15" s="355">
        <v>81200</v>
      </c>
      <c r="F15" s="55">
        <v>1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32" t="s">
        <v>32</v>
      </c>
      <c r="D16" s="433"/>
      <c r="E16" s="160" t="s">
        <v>33</v>
      </c>
      <c r="F16" s="161">
        <f>F15-F13</f>
        <v>1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IF('GVCA|0344-30'!OrigApprop=0,"No Original Appropriation amount in DU 3.00 for this fund","Calculated "&amp;IF('GVCA|0344-30'!AdjustedTotal&gt;0,"overfunding ","underfunding ")&amp;"is "&amp;TEXT('GVCA|0344-30'!AdjustedTotal/'GVCA|0344-30'!AppropTotal,"#.0%;(#.0%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34" t="s">
        <v>34</v>
      </c>
      <c r="D17" s="43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36" t="s">
        <v>35</v>
      </c>
      <c r="D18" s="43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411"/>
      <c r="AB19" s="411"/>
      <c r="AC19" s="411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411"/>
      <c r="AB20" s="411"/>
      <c r="AC20" s="411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411"/>
      <c r="AB21" s="411"/>
      <c r="AC21" s="411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411"/>
      <c r="AB22" s="411"/>
      <c r="AC22" s="411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411"/>
      <c r="AB23" s="411"/>
      <c r="AC23" s="411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411"/>
      <c r="AC24" s="411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411"/>
      <c r="AC25" s="411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411"/>
      <c r="AC26" s="411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411"/>
      <c r="AB27" s="411"/>
      <c r="AC27" s="411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411"/>
      <c r="AB28" s="411"/>
      <c r="AC28" s="411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411"/>
      <c r="AB29" s="411"/>
      <c r="AC29" s="411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411"/>
      <c r="AB30" s="411"/>
      <c r="AC30" s="411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411"/>
      <c r="AB31" s="411"/>
      <c r="AC31" s="411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411"/>
      <c r="AB32" s="411"/>
      <c r="AC32" s="411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411"/>
      <c r="AB33" s="411"/>
      <c r="AC33" s="411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411"/>
      <c r="AB34" s="411"/>
      <c r="AC34" s="411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411"/>
      <c r="AB35" s="411"/>
      <c r="AC35" s="411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411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8" t="s">
        <v>37</v>
      </c>
      <c r="D37" s="43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40" t="s">
        <v>105</v>
      </c>
      <c r="AB37" s="441"/>
      <c r="AC37" s="44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14" t="str">
        <f>perm_name</f>
        <v>Permanent Positions</v>
      </c>
      <c r="D38" s="42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14" t="str">
        <f>Group_name</f>
        <v>Board &amp; Group Positions</v>
      </c>
      <c r="D39" s="42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409" t="str">
        <f>Elect_name</f>
        <v>Elected Officials &amp; Full Time Commissioners</v>
      </c>
      <c r="D40" s="410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411"/>
      <c r="AB40" s="411"/>
      <c r="AC40" s="411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14" t="s">
        <v>38</v>
      </c>
      <c r="D41" s="42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411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4"/>
      <c r="D42" s="44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411"/>
      <c r="AB42" s="411"/>
      <c r="AC42" s="411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6" t="s">
        <v>39</v>
      </c>
      <c r="D43" s="447"/>
      <c r="E43" s="203" t="s">
        <v>40</v>
      </c>
      <c r="F43" s="205">
        <f>ROUND(F51-F41,2)</f>
        <v>1</v>
      </c>
      <c r="G43" s="206" t="e">
        <f>G51-G41</f>
        <v>#DIV/0!</v>
      </c>
      <c r="H43" s="159" t="e">
        <f>H51-H41</f>
        <v>#DIV/0!</v>
      </c>
      <c r="I43" s="159" t="e">
        <f>I51-I41</f>
        <v>#DIV/0!</v>
      </c>
      <c r="J43" s="159" t="e">
        <f>SUM(G43:I43)</f>
        <v>#DIV/0!</v>
      </c>
      <c r="K43" s="427" t="e">
        <f>IF(E51=0,"No Original Appropriation amount in DU 3.00 for this fund","Calculated "&amp;IF(J43&gt;0,"overfunding ","underfunding ")&amp;"is "&amp;TEXT(J43/J51,"#.0%;(#.0% );0%;")&amp;" of Original Appropriation")</f>
        <v>#DIV/0!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30" t="s">
        <v>106</v>
      </c>
      <c r="AB43" s="431"/>
      <c r="AC43" s="43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8"/>
      <c r="D44" s="449"/>
      <c r="E44" s="204" t="s">
        <v>41</v>
      </c>
      <c r="F44" s="205">
        <f>ROUND(F60-F41,2)</f>
        <v>1</v>
      </c>
      <c r="G44" s="206" t="e">
        <f>G60-G41</f>
        <v>#DIV/0!</v>
      </c>
      <c r="H44" s="159" t="e">
        <f>H60-H41</f>
        <v>#DIV/0!</v>
      </c>
      <c r="I44" s="159" t="e">
        <f>I60-I41</f>
        <v>#DIV/0!</v>
      </c>
      <c r="J44" s="159" t="e">
        <f>SUM(G44:I44)</f>
        <v>#DIV/0!</v>
      </c>
      <c r="K44" s="427" t="e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#DIV/0!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</v>
      </c>
      <c r="G45" s="206" t="e">
        <f>G67-G41-G63</f>
        <v>#DIV/0!</v>
      </c>
      <c r="H45" s="206" t="e">
        <f>H67-H41-H63</f>
        <v>#DIV/0!</v>
      </c>
      <c r="I45" s="206" t="e">
        <f>I67-I41-I63</f>
        <v>#DIV/0!</v>
      </c>
      <c r="J45" s="159" t="e">
        <f>SUM(G45:I45)</f>
        <v>#DIV/0!</v>
      </c>
      <c r="K45" s="427" t="e">
        <f>IF(J67=0,"This fund has a $0 Base in DU 9.00",IF(J67=0,"ERROR! Verify/enter 8 series adjustments!","Calculated "&amp;IF(J45&gt;0,"overfunding ","underfunding ")&amp;"is "&amp;TEXT(J45/J67,"#.0%;(#.0% );0%;")&amp;" of the Base"))</f>
        <v>#DIV/0!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50" t="s">
        <v>98</v>
      </c>
      <c r="F46" s="451"/>
      <c r="G46" s="451"/>
      <c r="H46" s="451"/>
      <c r="I46" s="451"/>
      <c r="J46" s="452"/>
      <c r="K46" s="456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57"/>
      <c r="M46" s="457"/>
      <c r="N46" s="458"/>
      <c r="O46"/>
      <c r="P46"/>
      <c r="Q46"/>
      <c r="R46"/>
      <c r="S46"/>
      <c r="T46"/>
      <c r="U46"/>
      <c r="V46"/>
      <c r="W46"/>
      <c r="X46"/>
      <c r="Y46"/>
      <c r="Z46" s="344"/>
      <c r="AA46" s="411"/>
      <c r="AB46" s="411"/>
      <c r="AC46" s="411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53"/>
      <c r="F47" s="454"/>
      <c r="G47" s="454"/>
      <c r="H47" s="454"/>
      <c r="I47" s="454"/>
      <c r="J47" s="455"/>
      <c r="K47" s="459"/>
      <c r="L47" s="460"/>
      <c r="M47" s="460"/>
      <c r="N47" s="461"/>
      <c r="O47"/>
      <c r="P47"/>
      <c r="Q47"/>
      <c r="R47"/>
      <c r="S47"/>
      <c r="T47"/>
      <c r="U47"/>
      <c r="V47"/>
      <c r="W47"/>
      <c r="X47"/>
      <c r="Y47"/>
      <c r="Z47" s="344"/>
      <c r="AA47" s="411"/>
      <c r="AB47" s="411"/>
      <c r="AC47" s="411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411"/>
      <c r="AB49" s="411"/>
      <c r="AC49" s="411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62"/>
      <c r="D50" s="46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411"/>
      <c r="AB50" s="411"/>
      <c r="AC50" s="411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81200</v>
      </c>
      <c r="F51" s="272">
        <f>AppropFTP</f>
        <v>1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411"/>
      <c r="AC51" s="411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411"/>
      <c r="AC52" s="411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64" t="s">
        <v>47</v>
      </c>
      <c r="D53" s="46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411"/>
      <c r="AB53" s="411"/>
      <c r="AC53" s="411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42" t="s">
        <v>48</v>
      </c>
      <c r="D54" s="44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411"/>
      <c r="AB54" s="411"/>
      <c r="AC54" s="411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8" t="s">
        <v>49</v>
      </c>
      <c r="D55" s="46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411"/>
      <c r="AB55" s="411"/>
      <c r="AC55" s="411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411"/>
      <c r="AB56" s="411"/>
      <c r="AC56" s="411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66" t="s">
        <v>51</v>
      </c>
      <c r="D57" s="470"/>
      <c r="E57" s="40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411"/>
      <c r="AB57" s="411"/>
      <c r="AC57" s="411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71" t="s">
        <v>116</v>
      </c>
      <c r="D58" s="472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411"/>
      <c r="AB58" s="411"/>
      <c r="AC58" s="411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71" t="s">
        <v>52</v>
      </c>
      <c r="D59" s="47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411"/>
      <c r="AB59" s="411"/>
      <c r="AC59" s="411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411"/>
      <c r="AB60" s="411"/>
      <c r="AC60" s="411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66" t="s">
        <v>54</v>
      </c>
      <c r="D61" s="470"/>
      <c r="E61" s="40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411"/>
      <c r="AB61" s="411"/>
      <c r="AC61" s="411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42" t="s">
        <v>65</v>
      </c>
      <c r="D62" s="44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411"/>
      <c r="AB62" s="411"/>
      <c r="AC62" s="411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42" t="s">
        <v>55</v>
      </c>
      <c r="D63" s="44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411"/>
      <c r="AB63" s="411"/>
      <c r="AC63" s="411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73" t="s">
        <v>56</v>
      </c>
      <c r="D64" s="474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411"/>
      <c r="AB64" s="411"/>
      <c r="AC64" s="411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75"/>
      <c r="D65" s="47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411"/>
      <c r="AB65" s="411"/>
      <c r="AC65" s="411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77"/>
      <c r="D66" s="478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411"/>
      <c r="AB67" s="411"/>
      <c r="AC67" s="411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66" t="s">
        <v>58</v>
      </c>
      <c r="D68" s="467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411"/>
      <c r="AB68" s="411"/>
      <c r="AC68" s="411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66" t="s">
        <v>59</v>
      </c>
      <c r="D69" s="467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411"/>
      <c r="AB69" s="411"/>
      <c r="AC69" s="411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81"/>
      <c r="D70" s="482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411"/>
      <c r="AB70" s="411"/>
      <c r="AC70" s="411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42" t="s">
        <v>60</v>
      </c>
      <c r="D71" s="44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411"/>
      <c r="AB71" s="411"/>
      <c r="AC71" s="411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42" t="s">
        <v>99</v>
      </c>
      <c r="D72" s="483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411"/>
      <c r="AB72" s="411"/>
      <c r="AC72" s="411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42" t="s">
        <v>117</v>
      </c>
      <c r="D73" s="483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411"/>
      <c r="AB73" s="411"/>
      <c r="AC73" s="411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406" t="s">
        <v>61</v>
      </c>
      <c r="D74" s="407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411"/>
      <c r="AB74" s="411"/>
      <c r="AC74" s="411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411"/>
      <c r="AB75" s="411"/>
      <c r="AC75" s="411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84" t="s">
        <v>63</v>
      </c>
      <c r="D76" s="485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411"/>
      <c r="AB76" s="411"/>
      <c r="AC76" s="411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9"/>
      <c r="D77" s="480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411"/>
      <c r="AB77" s="411"/>
      <c r="AC77" s="411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9"/>
      <c r="D78" s="480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411"/>
      <c r="AB78" s="411"/>
      <c r="AC78" s="411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9"/>
      <c r="D79" s="480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411"/>
      <c r="AB79" s="411"/>
      <c r="AC79" s="411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411"/>
      <c r="AB80" s="411"/>
      <c r="AC80" s="411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9" priority="8">
      <formula>$J$44&lt;0</formula>
    </cfRule>
  </conditionalFormatting>
  <conditionalFormatting sqref="K43">
    <cfRule type="expression" dxfId="8" priority="7">
      <formula>$J$43&lt;0</formula>
    </cfRule>
  </conditionalFormatting>
  <conditionalFormatting sqref="L16">
    <cfRule type="expression" dxfId="7" priority="6">
      <formula>$J$16&lt;0</formula>
    </cfRule>
  </conditionalFormatting>
  <conditionalFormatting sqref="K45">
    <cfRule type="expression" dxfId="6" priority="5">
      <formula>$J$44&lt;0</formula>
    </cfRule>
  </conditionalFormatting>
  <conditionalFormatting sqref="K43:N45">
    <cfRule type="containsText" dxfId="5" priority="4" operator="containsText" text="underfunding">
      <formula>NOT(ISERROR(SEARCH("underfunding",K43)))</formula>
    </cfRule>
  </conditionalFormatting>
  <conditionalFormatting sqref="K44">
    <cfRule type="expression" dxfId="4" priority="3">
      <formula>$J$44&lt;0</formula>
    </cfRule>
  </conditionalFormatting>
  <conditionalFormatting sqref="K45">
    <cfRule type="expression" dxfId="3" priority="2">
      <formula>$J$44&lt;0</formula>
    </cfRule>
  </conditionalFormatting>
  <conditionalFormatting sqref="K45">
    <cfRule type="expression" dxfId="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F31E72-E5C5-4D50-8B63-D7A0503AA9B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S5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28" sqref="K28"/>
    </sheetView>
  </sheetViews>
  <sheetFormatPr defaultRowHeight="15" x14ac:dyDescent="0.25"/>
  <cols>
    <col min="45" max="53" width="15.7109375" customWidth="1"/>
    <col min="54" max="54" width="12" bestFit="1" customWidth="1"/>
    <col min="55" max="55" width="9.28515625" bestFit="1" customWidth="1"/>
    <col min="56" max="57" width="10.85546875" bestFit="1" customWidth="1"/>
    <col min="58" max="58" width="12" bestFit="1" customWidth="1"/>
    <col min="59" max="59" width="9.7109375" bestFit="1" customWidth="1"/>
    <col min="60" max="61" width="9.28515625" bestFit="1" customWidth="1"/>
    <col min="62" max="62" width="9.7109375" bestFit="1" customWidth="1"/>
    <col min="63" max="63" width="9.28515625" bestFit="1" customWidth="1"/>
    <col min="64" max="64" width="12" bestFit="1" customWidth="1"/>
    <col min="65" max="65" width="9.28515625" bestFit="1" customWidth="1"/>
    <col min="66" max="66" width="12" bestFit="1" customWidth="1"/>
    <col min="67" max="67" width="9.28515625" bestFit="1" customWidth="1"/>
    <col min="68" max="69" width="10.85546875" bestFit="1" customWidth="1"/>
    <col min="70" max="70" width="12" bestFit="1" customWidth="1"/>
    <col min="71" max="71" width="9.7109375" bestFit="1" customWidth="1"/>
    <col min="72" max="73" width="9.28515625" bestFit="1" customWidth="1"/>
    <col min="74" max="74" width="9.7109375" bestFit="1" customWidth="1"/>
    <col min="75" max="75" width="9.28515625" bestFit="1" customWidth="1"/>
    <col min="76" max="76" width="12" bestFit="1" customWidth="1"/>
    <col min="77" max="77" width="9.28515625" bestFit="1" customWidth="1"/>
    <col min="78" max="78" width="10.85546875" bestFit="1" customWidth="1"/>
    <col min="79" max="81" width="9.28515625" bestFit="1" customWidth="1"/>
    <col min="82" max="82" width="11.5703125" bestFit="1" customWidth="1"/>
    <col min="83" max="85" width="9.28515625" bestFit="1" customWidth="1"/>
    <col min="86" max="86" width="10.42578125" bestFit="1" customWidth="1"/>
    <col min="87" max="87" width="9.28515625" bestFit="1" customWidth="1"/>
    <col min="88" max="88" width="11.5703125" bestFit="1" customWidth="1"/>
    <col min="89" max="89" width="9.28515625" bestFit="1" customWidth="1"/>
    <col min="90" max="90" width="9.7109375" bestFit="1" customWidth="1"/>
    <col min="91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309</v>
      </c>
      <c r="AT1" s="387" t="s">
        <v>310</v>
      </c>
      <c r="AU1" s="387" t="s">
        <v>311</v>
      </c>
      <c r="AV1" s="387" t="s">
        <v>312</v>
      </c>
      <c r="AW1" s="387" t="s">
        <v>313</v>
      </c>
      <c r="AX1" s="387" t="s">
        <v>314</v>
      </c>
      <c r="AY1" s="387" t="s">
        <v>315</v>
      </c>
      <c r="AZ1" s="387" t="s">
        <v>316</v>
      </c>
      <c r="BA1" s="389" t="s">
        <v>317</v>
      </c>
      <c r="BB1" s="390" t="s">
        <v>318</v>
      </c>
      <c r="BC1" s="390" t="s">
        <v>319</v>
      </c>
      <c r="BD1" s="390" t="s">
        <v>320</v>
      </c>
      <c r="BE1" s="390" t="s">
        <v>321</v>
      </c>
      <c r="BF1" s="390" t="s">
        <v>322</v>
      </c>
      <c r="BG1" s="390" t="s">
        <v>323</v>
      </c>
      <c r="BH1" s="390" t="s">
        <v>324</v>
      </c>
      <c r="BI1" s="390" t="s">
        <v>325</v>
      </c>
      <c r="BJ1" s="390" t="s">
        <v>326</v>
      </c>
      <c r="BK1" s="390" t="s">
        <v>327</v>
      </c>
      <c r="BL1" s="391" t="s">
        <v>328</v>
      </c>
      <c r="BM1" s="391" t="s">
        <v>329</v>
      </c>
      <c r="BN1" s="390" t="s">
        <v>330</v>
      </c>
      <c r="BO1" s="390" t="s">
        <v>331</v>
      </c>
      <c r="BP1" s="390" t="s">
        <v>332</v>
      </c>
      <c r="BQ1" s="390" t="s">
        <v>333</v>
      </c>
      <c r="BR1" s="390" t="s">
        <v>334</v>
      </c>
      <c r="BS1" s="390" t="s">
        <v>335</v>
      </c>
      <c r="BT1" s="390" t="s">
        <v>336</v>
      </c>
      <c r="BU1" s="390" t="s">
        <v>337</v>
      </c>
      <c r="BV1" s="390" t="s">
        <v>338</v>
      </c>
      <c r="BW1" s="390" t="s">
        <v>339</v>
      </c>
      <c r="BX1" s="391" t="s">
        <v>340</v>
      </c>
      <c r="BY1" s="391" t="s">
        <v>341</v>
      </c>
      <c r="BZ1" s="390" t="s">
        <v>342</v>
      </c>
      <c r="CA1" s="390" t="s">
        <v>343</v>
      </c>
      <c r="CB1" s="390" t="s">
        <v>344</v>
      </c>
      <c r="CC1" s="390" t="s">
        <v>345</v>
      </c>
      <c r="CD1" s="390" t="s">
        <v>346</v>
      </c>
      <c r="CE1" s="390" t="s">
        <v>347</v>
      </c>
      <c r="CF1" s="390" t="s">
        <v>348</v>
      </c>
      <c r="CG1" s="390" t="s">
        <v>349</v>
      </c>
      <c r="CH1" s="390" t="s">
        <v>350</v>
      </c>
      <c r="CI1" s="390" t="s">
        <v>351</v>
      </c>
      <c r="CJ1" s="391" t="s">
        <v>352</v>
      </c>
      <c r="CK1" s="391" t="s">
        <v>353</v>
      </c>
      <c r="CL1" s="392" t="s">
        <v>354</v>
      </c>
      <c r="CM1" s="392" t="s">
        <v>355</v>
      </c>
      <c r="CN1" s="392" t="s">
        <v>356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6">
        <v>1</v>
      </c>
      <c r="Q2" s="386">
        <v>1</v>
      </c>
      <c r="R2" s="381">
        <v>80</v>
      </c>
      <c r="S2" s="386">
        <v>1</v>
      </c>
      <c r="T2" s="381">
        <v>103694.28</v>
      </c>
      <c r="U2" s="381">
        <v>0</v>
      </c>
      <c r="V2" s="381">
        <v>33450.839999999997</v>
      </c>
      <c r="W2" s="381">
        <v>107848</v>
      </c>
      <c r="X2" s="381">
        <v>34760.879999999997</v>
      </c>
      <c r="Y2" s="381">
        <v>107848</v>
      </c>
      <c r="Z2" s="381">
        <v>35072.6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51.85</v>
      </c>
      <c r="AI2" s="382">
        <v>12875.3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6">
        <v>1</v>
      </c>
      <c r="AQ2" s="386">
        <v>1</v>
      </c>
      <c r="AR2" s="384" t="s">
        <v>184</v>
      </c>
      <c r="AS2" s="388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8">
        <f>IF(AT2=0,"",IF(AND(AT2=1,M2="F",SUMIF(C2:C23,C2,AS2:AS23)&lt;=1),SUMIF(C2:C23,C2,AS2:AS23),IF(AND(AT2=1,M2="F",SUMIF(C2:C23,C2,AS2:AS23)&gt;1),1,"")))</f>
        <v>1</v>
      </c>
      <c r="AV2" s="388" t="str">
        <f>IF(AT2=0,"",IF(AND(AT2=3,M2="F",SUMIF(C2:C23,C2,AS2:AS23)&lt;=1),SUMIF(C2:C23,C2,AS2:AS23),IF(AND(AT2=3,M2="F",SUMIF(C2:C23,C2,AS2:AS23)&gt;1),1,"")))</f>
        <v/>
      </c>
      <c r="AW2" s="388">
        <f>SUMIF(C2:C23,C2,O2:O23)</f>
        <v>1</v>
      </c>
      <c r="AX2" s="388">
        <f>IF(AND(M2="F",AS2&lt;&gt;0),SUMIF(C2:C23,C2,W2:W23),0)</f>
        <v>107848</v>
      </c>
      <c r="AY2" s="388">
        <f>IF(AT2=1,W2,"")</f>
        <v>107848</v>
      </c>
      <c r="AZ2" s="388" t="str">
        <f>IF(AT2=3,W2,"")</f>
        <v/>
      </c>
      <c r="BA2" s="388">
        <f>IF(AT2=1,Y2-W2,0)</f>
        <v>0</v>
      </c>
      <c r="BB2" s="388">
        <f t="shared" ref="BB2:BB23" si="0">IF(AND(AT2=1,AK2="E",AU2&gt;=0.75,AW2=1),Health,IF(AND(AT2=1,AK2="E",AU2&gt;=0.75),Health*P2,IF(AND(AT2=1,AK2="E",AU2&gt;=0.5,AW2=1),PTHealth,IF(AND(AT2=1,AK2="E",AU2&gt;=0.5),PTHealth*P2,0))))</f>
        <v>12500</v>
      </c>
      <c r="BC2" s="388">
        <f t="shared" ref="BC2:BC23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23" si="2">IF(AND(AT2&lt;&gt;0,AX2&gt;=MAXSSDI),SSDI*MAXSSDI*P2,IF(AT2&lt;&gt;0,SSDI*W2,0))</f>
        <v>6686.576</v>
      </c>
      <c r="BE2" s="388">
        <f t="shared" ref="BE2:BE23" si="3">IF(AT2&lt;&gt;0,SSHI*W2,0)</f>
        <v>1563.796</v>
      </c>
      <c r="BF2" s="388">
        <f t="shared" ref="BF2:BF23" si="4">IF(AND(AT2&lt;&gt;0,AN2&lt;&gt;"NE"),VLOOKUP(AN2,Retirement_Rates,3,FALSE)*W2,0)</f>
        <v>12877.0512</v>
      </c>
      <c r="BG2" s="388">
        <f t="shared" ref="BG2:BG23" si="5">IF(AND(AT2&lt;&gt;0,AJ2&lt;&gt;"PF"),Life*W2,0)</f>
        <v>777.58407999999997</v>
      </c>
      <c r="BH2" s="388">
        <f t="shared" ref="BH2:BH23" si="6">IF(AND(AT2&lt;&gt;0,AM2="Y"),UI*W2,0)</f>
        <v>0</v>
      </c>
      <c r="BI2" s="388">
        <f t="shared" ref="BI2:BI23" si="7">IF(AND(AT2&lt;&gt;0,N2&lt;&gt;"NR"),DHR*W2,0)</f>
        <v>0</v>
      </c>
      <c r="BJ2" s="388">
        <f t="shared" ref="BJ2:BJ23" si="8">IF(AT2&lt;&gt;0,WC*W2,0)</f>
        <v>355.89839999999998</v>
      </c>
      <c r="BK2" s="388">
        <f t="shared" ref="BK2:BK23" si="9">IF(OR(AND(AT2&lt;&gt;0,AJ2&lt;&gt;"PF",AN2&lt;&gt;"NE",AG2&lt;&gt;"A"),AND(AL2="E",OR(AT2=1,AT2=3))),Sick*W2,0)</f>
        <v>0</v>
      </c>
      <c r="BL2" s="388">
        <f>IF(AT2=1,SUM(BD2:BK2),0)</f>
        <v>22260.905679999996</v>
      </c>
      <c r="BM2" s="388">
        <f>IF(AT2=3,SUM(BD2:BK2),0)</f>
        <v>0</v>
      </c>
      <c r="BN2" s="388">
        <f t="shared" ref="BN2:BN23" si="10">IF(AND(AT2=1,AK2="E",AU2&gt;=0.75,AW2=1),HealthBY,IF(AND(AT2=1,AK2="E",AU2&gt;=0.75),HealthBY*P2,IF(AND(AT2=1,AK2="E",AU2&gt;=0.5,AW2=1),PTHealthBY,IF(AND(AT2=1,AK2="E",AU2&gt;=0.5),PTHealthBY*P2,0))))</f>
        <v>13750</v>
      </c>
      <c r="BO2" s="388">
        <f t="shared" ref="BO2:BO23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23" si="12">IF(AND(AT2&lt;&gt;0,(AX2+BA2)&gt;=MAXSSDIBY),SSDIBY*MAXSSDIBY*P2,IF(AT2&lt;&gt;0,SSDIBY*W2,0))</f>
        <v>6686.576</v>
      </c>
      <c r="BQ2" s="388">
        <f t="shared" ref="BQ2:BQ23" si="13">IF(AT2&lt;&gt;0,SSHIBY*W2,0)</f>
        <v>1563.796</v>
      </c>
      <c r="BR2" s="388">
        <f t="shared" ref="BR2:BR23" si="14">IF(AND(AT2&lt;&gt;0,AN2&lt;&gt;"NE"),VLOOKUP(AN2,Retirement_Rates,4,FALSE)*W2,0)</f>
        <v>12057.4064</v>
      </c>
      <c r="BS2" s="388">
        <f t="shared" ref="BS2:BS23" si="15">IF(AND(AT2&lt;&gt;0,AJ2&lt;&gt;"PF"),LifeBY*W2,0)</f>
        <v>777.58407999999997</v>
      </c>
      <c r="BT2" s="388">
        <f t="shared" ref="BT2:BT23" si="16">IF(AND(AT2&lt;&gt;0,AM2="Y"),UIBY*W2,0)</f>
        <v>0</v>
      </c>
      <c r="BU2" s="388">
        <f t="shared" ref="BU2:BU23" si="17">IF(AND(AT2&lt;&gt;0,N2&lt;&gt;"NR"),DHRBY*W2,0)</f>
        <v>0</v>
      </c>
      <c r="BV2" s="388">
        <f t="shared" ref="BV2:BV23" si="18">IF(AT2&lt;&gt;0,WCBY*W2,0)</f>
        <v>237.26560000000001</v>
      </c>
      <c r="BW2" s="388">
        <f t="shared" ref="BW2:BW23" si="19">IF(OR(AND(AT2&lt;&gt;0,AJ2&lt;&gt;"PF",AN2&lt;&gt;"NE",AG2&lt;&gt;"A"),AND(AL2="E",OR(AT2=1,AT2=3))),SickBY*W2,0)</f>
        <v>0</v>
      </c>
      <c r="BX2" s="388">
        <f>IF(AT2=1,SUM(BP2:BW2),0)</f>
        <v>21322.628079999999</v>
      </c>
      <c r="BY2" s="388">
        <f>IF(AT2=3,SUM(BP2:BW2),0)</f>
        <v>0</v>
      </c>
      <c r="BZ2" s="388">
        <f>IF(AT2=1,BN2-BB2,0)</f>
        <v>1250</v>
      </c>
      <c r="CA2" s="388">
        <f>IF(AT2=3,BO2-BC2,0)</f>
        <v>0</v>
      </c>
      <c r="CB2" s="388">
        <f>BP2-BD2</f>
        <v>0</v>
      </c>
      <c r="CC2" s="388">
        <f t="shared" ref="CC2:CC23" si="20">IF(AT2&lt;&gt;0,SSHICHG*Y2,0)</f>
        <v>0</v>
      </c>
      <c r="CD2" s="388">
        <f t="shared" ref="CD2:CD23" si="21">IF(AND(AT2&lt;&gt;0,AN2&lt;&gt;"NE"),VLOOKUP(AN2,Retirement_Rates,5,FALSE)*Y2,0)</f>
        <v>-819.64480000000106</v>
      </c>
      <c r="CE2" s="388">
        <f t="shared" ref="CE2:CE23" si="22">IF(AND(AT2&lt;&gt;0,AJ2&lt;&gt;"PF"),LifeCHG*Y2,0)</f>
        <v>0</v>
      </c>
      <c r="CF2" s="388">
        <f t="shared" ref="CF2:CF23" si="23">IF(AND(AT2&lt;&gt;0,AM2="Y"),UICHG*Y2,0)</f>
        <v>0</v>
      </c>
      <c r="CG2" s="388">
        <f t="shared" ref="CG2:CG23" si="24">IF(AND(AT2&lt;&gt;0,N2&lt;&gt;"NR"),DHRCHG*Y2,0)</f>
        <v>0</v>
      </c>
      <c r="CH2" s="388">
        <f t="shared" ref="CH2:CH23" si="25">IF(AT2&lt;&gt;0,WCCHG*Y2,0)</f>
        <v>-118.63279999999999</v>
      </c>
      <c r="CI2" s="388">
        <f t="shared" ref="CI2:CI23" si="26">IF(OR(AND(AT2&lt;&gt;0,AJ2&lt;&gt;"PF",AN2&lt;&gt;"NE",AG2&lt;&gt;"A"),AND(AL2="E",OR(AT2=1,AT2=3))),SickCHG*Y2,0)</f>
        <v>0</v>
      </c>
      <c r="CJ2" s="388">
        <f>IF(AT2=1,SUM(CB2:CI2),0)</f>
        <v>-938.27760000000103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0001-00</v>
      </c>
    </row>
    <row r="3" spans="1:92" ht="15.75" thickBot="1" x14ac:dyDescent="0.3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187</v>
      </c>
      <c r="L3" s="377" t="s">
        <v>182</v>
      </c>
      <c r="M3" s="377" t="s">
        <v>172</v>
      </c>
      <c r="N3" s="377" t="s">
        <v>173</v>
      </c>
      <c r="O3" s="380">
        <v>1</v>
      </c>
      <c r="P3" s="386">
        <v>1</v>
      </c>
      <c r="Q3" s="386">
        <v>1</v>
      </c>
      <c r="R3" s="381">
        <v>80</v>
      </c>
      <c r="S3" s="386">
        <v>1</v>
      </c>
      <c r="T3" s="381">
        <v>54660.67</v>
      </c>
      <c r="U3" s="381">
        <v>0</v>
      </c>
      <c r="V3" s="381">
        <v>22236.6</v>
      </c>
      <c r="W3" s="381">
        <v>63731.199999999997</v>
      </c>
      <c r="X3" s="381">
        <v>25654.74</v>
      </c>
      <c r="Y3" s="381">
        <v>63731.199999999997</v>
      </c>
      <c r="Z3" s="381">
        <v>26350.27</v>
      </c>
      <c r="AA3" s="377" t="s">
        <v>188</v>
      </c>
      <c r="AB3" s="377" t="s">
        <v>189</v>
      </c>
      <c r="AC3" s="377" t="s">
        <v>190</v>
      </c>
      <c r="AD3" s="377" t="s">
        <v>191</v>
      </c>
      <c r="AE3" s="377" t="s">
        <v>187</v>
      </c>
      <c r="AF3" s="377" t="s">
        <v>192</v>
      </c>
      <c r="AG3" s="377" t="s">
        <v>179</v>
      </c>
      <c r="AH3" s="382">
        <v>30.64</v>
      </c>
      <c r="AI3" s="382">
        <v>812.9</v>
      </c>
      <c r="AJ3" s="377" t="s">
        <v>180</v>
      </c>
      <c r="AK3" s="377" t="s">
        <v>181</v>
      </c>
      <c r="AL3" s="377" t="s">
        <v>182</v>
      </c>
      <c r="AM3" s="377" t="s">
        <v>183</v>
      </c>
      <c r="AN3" s="377" t="s">
        <v>66</v>
      </c>
      <c r="AO3" s="380">
        <v>80</v>
      </c>
      <c r="AP3" s="386">
        <v>1</v>
      </c>
      <c r="AQ3" s="386">
        <v>1</v>
      </c>
      <c r="AR3" s="384" t="s">
        <v>184</v>
      </c>
      <c r="AS3" s="388">
        <f t="shared" ref="AS3:AS23" si="27">IF(((AO3/80)*AP3*P3)&gt;1,AQ3,((AO3/80)*AP3*P3))</f>
        <v>1</v>
      </c>
      <c r="AT3">
        <f t="shared" ref="AT3:AT23" si="28">IF(AND(M3="F",N3&lt;&gt;"NG",AS3&lt;&gt;0,AND(AR3&lt;&gt;6,AR3&lt;&gt;36,AR3&lt;&gt;56),AG3&lt;&gt;"A",OR(AG3="H",AJ3="FS")),1,IF(AND(M3="F",N3&lt;&gt;"NG",AS3&lt;&gt;0,AG3="A"),3,0))</f>
        <v>1</v>
      </c>
      <c r="AU3" s="388">
        <f>IF(AT3=0,"",IF(AND(AT3=1,M3="F",SUMIF(C2:C23,C3,AS2:AS23)&lt;=1),SUMIF(C2:C23,C3,AS2:AS23),IF(AND(AT3=1,M3="F",SUMIF(C2:C23,C3,AS2:AS23)&gt;1),1,"")))</f>
        <v>1</v>
      </c>
      <c r="AV3" s="388" t="str">
        <f>IF(AT3=0,"",IF(AND(AT3=3,M3="F",SUMIF(C2:C23,C3,AS2:AS23)&lt;=1),SUMIF(C2:C23,C3,AS2:AS23),IF(AND(AT3=3,M3="F",SUMIF(C2:C23,C3,AS2:AS23)&gt;1),1,"")))</f>
        <v/>
      </c>
      <c r="AW3" s="388">
        <f>SUMIF(C2:C23,C3,O2:O23)</f>
        <v>1</v>
      </c>
      <c r="AX3" s="388">
        <f>IF(AND(M3="F",AS3&lt;&gt;0),SUMIF(C2:C23,C3,W2:W23),0)</f>
        <v>63731.199999999997</v>
      </c>
      <c r="AY3" s="388">
        <f t="shared" ref="AY3:AY23" si="29">IF(AT3=1,W3,"")</f>
        <v>63731.199999999997</v>
      </c>
      <c r="AZ3" s="388" t="str">
        <f t="shared" ref="AZ3:AZ23" si="30">IF(AT3=3,W3,"")</f>
        <v/>
      </c>
      <c r="BA3" s="388">
        <f t="shared" ref="BA3:BA23" si="31">IF(AT3=1,Y3-W3,0)</f>
        <v>0</v>
      </c>
      <c r="BB3" s="388">
        <f t="shared" si="0"/>
        <v>12500</v>
      </c>
      <c r="BC3" s="388">
        <f t="shared" si="1"/>
        <v>0</v>
      </c>
      <c r="BD3" s="388">
        <f t="shared" si="2"/>
        <v>3951.3343999999997</v>
      </c>
      <c r="BE3" s="388">
        <f t="shared" si="3"/>
        <v>924.10239999999999</v>
      </c>
      <c r="BF3" s="388">
        <f t="shared" si="4"/>
        <v>7609.5052800000003</v>
      </c>
      <c r="BG3" s="388">
        <f t="shared" si="5"/>
        <v>459.50195200000002</v>
      </c>
      <c r="BH3" s="388">
        <f t="shared" si="6"/>
        <v>0</v>
      </c>
      <c r="BI3" s="388">
        <f t="shared" si="7"/>
        <v>0</v>
      </c>
      <c r="BJ3" s="388">
        <f t="shared" si="8"/>
        <v>210.31295999999998</v>
      </c>
      <c r="BK3" s="388">
        <f t="shared" si="9"/>
        <v>0</v>
      </c>
      <c r="BL3" s="388">
        <f t="shared" ref="BL3:BL23" si="32">IF(AT3=1,SUM(BD3:BK3),0)</f>
        <v>13154.756992000001</v>
      </c>
      <c r="BM3" s="388">
        <f t="shared" ref="BM3:BM23" si="33">IF(AT3=3,SUM(BD3:BK3),0)</f>
        <v>0</v>
      </c>
      <c r="BN3" s="388">
        <f t="shared" si="10"/>
        <v>13750</v>
      </c>
      <c r="BO3" s="388">
        <f t="shared" si="11"/>
        <v>0</v>
      </c>
      <c r="BP3" s="388">
        <f t="shared" si="12"/>
        <v>3951.3343999999997</v>
      </c>
      <c r="BQ3" s="388">
        <f t="shared" si="13"/>
        <v>924.10239999999999</v>
      </c>
      <c r="BR3" s="388">
        <f t="shared" si="14"/>
        <v>7125.1481599999997</v>
      </c>
      <c r="BS3" s="388">
        <f t="shared" si="15"/>
        <v>459.50195200000002</v>
      </c>
      <c r="BT3" s="388">
        <f t="shared" si="16"/>
        <v>0</v>
      </c>
      <c r="BU3" s="388">
        <f t="shared" si="17"/>
        <v>0</v>
      </c>
      <c r="BV3" s="388">
        <f t="shared" si="18"/>
        <v>140.20864</v>
      </c>
      <c r="BW3" s="388">
        <f t="shared" si="19"/>
        <v>0</v>
      </c>
      <c r="BX3" s="388">
        <f t="shared" ref="BX3:BX23" si="34">IF(AT3=1,SUM(BP3:BW3),0)</f>
        <v>12600.295552000001</v>
      </c>
      <c r="BY3" s="388">
        <f t="shared" ref="BY3:BY23" si="35">IF(AT3=3,SUM(BP3:BW3),0)</f>
        <v>0</v>
      </c>
      <c r="BZ3" s="388">
        <f t="shared" ref="BZ3:BZ23" si="36">IF(AT3=1,BN3-BB3,0)</f>
        <v>1250</v>
      </c>
      <c r="CA3" s="388">
        <f t="shared" ref="CA3:CA23" si="37">IF(AT3=3,BO3-BC3,0)</f>
        <v>0</v>
      </c>
      <c r="CB3" s="388">
        <f t="shared" ref="CB3:CB23" si="38">BP3-BD3</f>
        <v>0</v>
      </c>
      <c r="CC3" s="388">
        <f t="shared" si="20"/>
        <v>0</v>
      </c>
      <c r="CD3" s="388">
        <f t="shared" si="21"/>
        <v>-484.35712000000058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-70.104319999999987</v>
      </c>
      <c r="CI3" s="388">
        <f t="shared" si="26"/>
        <v>0</v>
      </c>
      <c r="CJ3" s="388">
        <f t="shared" ref="CJ3:CJ23" si="39">IF(AT3=1,SUM(CB3:CI3),0)</f>
        <v>-554.46144000000061</v>
      </c>
      <c r="CK3" s="388" t="str">
        <f t="shared" ref="CK3:CK23" si="40">IF(AT3=3,SUM(CB3:CI3),"")</f>
        <v/>
      </c>
      <c r="CL3" s="388" t="str">
        <f t="shared" ref="CL3:CL23" si="41">IF(OR(N3="NG",AG3="D"),(T3+U3),"")</f>
        <v/>
      </c>
      <c r="CM3" s="388" t="str">
        <f t="shared" ref="CM3:CM23" si="42">IF(OR(N3="NG",AG3="D"),V3,"")</f>
        <v/>
      </c>
      <c r="CN3" s="388" t="str">
        <f t="shared" ref="CN3:CN23" si="43">E3 &amp; "-" &amp; F3</f>
        <v>0001-00</v>
      </c>
    </row>
    <row r="4" spans="1:92" ht="15.75" thickBot="1" x14ac:dyDescent="0.3">
      <c r="A4" s="377" t="s">
        <v>162</v>
      </c>
      <c r="B4" s="377" t="s">
        <v>163</v>
      </c>
      <c r="C4" s="377" t="s">
        <v>193</v>
      </c>
      <c r="D4" s="377" t="s">
        <v>186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187</v>
      </c>
      <c r="L4" s="377" t="s">
        <v>182</v>
      </c>
      <c r="M4" s="377" t="s">
        <v>172</v>
      </c>
      <c r="N4" s="377" t="s">
        <v>173</v>
      </c>
      <c r="O4" s="380">
        <v>1</v>
      </c>
      <c r="P4" s="386">
        <v>1</v>
      </c>
      <c r="Q4" s="386">
        <v>1</v>
      </c>
      <c r="R4" s="381">
        <v>80</v>
      </c>
      <c r="S4" s="386">
        <v>1</v>
      </c>
      <c r="T4" s="381">
        <v>62485.13</v>
      </c>
      <c r="U4" s="381">
        <v>0</v>
      </c>
      <c r="V4" s="381">
        <v>24937.97</v>
      </c>
      <c r="W4" s="381">
        <v>70720</v>
      </c>
      <c r="X4" s="381">
        <v>27097.3</v>
      </c>
      <c r="Y4" s="381">
        <v>70720</v>
      </c>
      <c r="Z4" s="381">
        <v>27732.04</v>
      </c>
      <c r="AA4" s="377" t="s">
        <v>194</v>
      </c>
      <c r="AB4" s="377" t="s">
        <v>195</v>
      </c>
      <c r="AC4" s="377" t="s">
        <v>196</v>
      </c>
      <c r="AD4" s="377" t="s">
        <v>197</v>
      </c>
      <c r="AE4" s="377" t="s">
        <v>187</v>
      </c>
      <c r="AF4" s="377" t="s">
        <v>192</v>
      </c>
      <c r="AG4" s="377" t="s">
        <v>179</v>
      </c>
      <c r="AH4" s="380">
        <v>34</v>
      </c>
      <c r="AI4" s="382">
        <v>11495.3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6">
        <v>1</v>
      </c>
      <c r="AQ4" s="386">
        <v>1</v>
      </c>
      <c r="AR4" s="384" t="s">
        <v>184</v>
      </c>
      <c r="AS4" s="388">
        <f t="shared" si="27"/>
        <v>1</v>
      </c>
      <c r="AT4">
        <f t="shared" si="28"/>
        <v>1</v>
      </c>
      <c r="AU4" s="388">
        <f>IF(AT4=0,"",IF(AND(AT4=1,M4="F",SUMIF(C2:C23,C4,AS2:AS23)&lt;=1),SUMIF(C2:C23,C4,AS2:AS23),IF(AND(AT4=1,M4="F",SUMIF(C2:C23,C4,AS2:AS23)&gt;1),1,"")))</f>
        <v>1</v>
      </c>
      <c r="AV4" s="388" t="str">
        <f>IF(AT4=0,"",IF(AND(AT4=3,M4="F",SUMIF(C2:C23,C4,AS2:AS23)&lt;=1),SUMIF(C2:C23,C4,AS2:AS23),IF(AND(AT4=3,M4="F",SUMIF(C2:C23,C4,AS2:AS23)&gt;1),1,"")))</f>
        <v/>
      </c>
      <c r="AW4" s="388">
        <f>SUMIF(C2:C23,C4,O2:O23)</f>
        <v>1</v>
      </c>
      <c r="AX4" s="388">
        <f>IF(AND(M4="F",AS4&lt;&gt;0),SUMIF(C2:C23,C4,W2:W23),0)</f>
        <v>70720</v>
      </c>
      <c r="AY4" s="388">
        <f t="shared" si="29"/>
        <v>70720</v>
      </c>
      <c r="AZ4" s="388" t="str">
        <f t="shared" si="30"/>
        <v/>
      </c>
      <c r="BA4" s="388">
        <f t="shared" si="31"/>
        <v>0</v>
      </c>
      <c r="BB4" s="388">
        <f t="shared" si="0"/>
        <v>12500</v>
      </c>
      <c r="BC4" s="388">
        <f t="shared" si="1"/>
        <v>0</v>
      </c>
      <c r="BD4" s="388">
        <f t="shared" si="2"/>
        <v>4384.6400000000003</v>
      </c>
      <c r="BE4" s="388">
        <f t="shared" si="3"/>
        <v>1025.44</v>
      </c>
      <c r="BF4" s="388">
        <f t="shared" si="4"/>
        <v>8443.9680000000008</v>
      </c>
      <c r="BG4" s="388">
        <f t="shared" si="5"/>
        <v>509.89120000000003</v>
      </c>
      <c r="BH4" s="388">
        <f t="shared" si="6"/>
        <v>0</v>
      </c>
      <c r="BI4" s="388">
        <f t="shared" si="7"/>
        <v>0</v>
      </c>
      <c r="BJ4" s="388">
        <f t="shared" si="8"/>
        <v>233.376</v>
      </c>
      <c r="BK4" s="388">
        <f t="shared" si="9"/>
        <v>0</v>
      </c>
      <c r="BL4" s="388">
        <f t="shared" si="32"/>
        <v>14597.315200000001</v>
      </c>
      <c r="BM4" s="388">
        <f t="shared" si="33"/>
        <v>0</v>
      </c>
      <c r="BN4" s="388">
        <f t="shared" si="10"/>
        <v>13750</v>
      </c>
      <c r="BO4" s="388">
        <f t="shared" si="11"/>
        <v>0</v>
      </c>
      <c r="BP4" s="388">
        <f t="shared" si="12"/>
        <v>4384.6400000000003</v>
      </c>
      <c r="BQ4" s="388">
        <f t="shared" si="13"/>
        <v>1025.44</v>
      </c>
      <c r="BR4" s="388">
        <f t="shared" si="14"/>
        <v>7906.4960000000001</v>
      </c>
      <c r="BS4" s="388">
        <f t="shared" si="15"/>
        <v>509.89120000000003</v>
      </c>
      <c r="BT4" s="388">
        <f t="shared" si="16"/>
        <v>0</v>
      </c>
      <c r="BU4" s="388">
        <f t="shared" si="17"/>
        <v>0</v>
      </c>
      <c r="BV4" s="388">
        <f t="shared" si="18"/>
        <v>155.584</v>
      </c>
      <c r="BW4" s="388">
        <f t="shared" si="19"/>
        <v>0</v>
      </c>
      <c r="BX4" s="388">
        <f t="shared" si="34"/>
        <v>13982.051200000002</v>
      </c>
      <c r="BY4" s="388">
        <f t="shared" si="35"/>
        <v>0</v>
      </c>
      <c r="BZ4" s="388">
        <f t="shared" si="36"/>
        <v>1250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-537.47200000000066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-77.791999999999987</v>
      </c>
      <c r="CI4" s="388">
        <f t="shared" si="26"/>
        <v>0</v>
      </c>
      <c r="CJ4" s="388">
        <f t="shared" si="39"/>
        <v>-615.26400000000069</v>
      </c>
      <c r="CK4" s="388" t="str">
        <f t="shared" si="40"/>
        <v/>
      </c>
      <c r="CL4" s="388" t="str">
        <f t="shared" si="41"/>
        <v/>
      </c>
      <c r="CM4" s="388" t="str">
        <f t="shared" si="42"/>
        <v/>
      </c>
      <c r="CN4" s="388" t="str">
        <f t="shared" si="43"/>
        <v>0001-00</v>
      </c>
    </row>
    <row r="5" spans="1:92" ht="15.75" thickBot="1" x14ac:dyDescent="0.3">
      <c r="A5" s="377" t="s">
        <v>162</v>
      </c>
      <c r="B5" s="377" t="s">
        <v>163</v>
      </c>
      <c r="C5" s="377" t="s">
        <v>198</v>
      </c>
      <c r="D5" s="377" t="s">
        <v>199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200</v>
      </c>
      <c r="L5" s="377" t="s">
        <v>182</v>
      </c>
      <c r="M5" s="377" t="s">
        <v>172</v>
      </c>
      <c r="N5" s="377" t="s">
        <v>173</v>
      </c>
      <c r="O5" s="380">
        <v>1</v>
      </c>
      <c r="P5" s="386">
        <v>1</v>
      </c>
      <c r="Q5" s="386">
        <v>1</v>
      </c>
      <c r="R5" s="381">
        <v>80</v>
      </c>
      <c r="S5" s="386">
        <v>1</v>
      </c>
      <c r="T5" s="381">
        <v>53492.65</v>
      </c>
      <c r="U5" s="381">
        <v>0</v>
      </c>
      <c r="V5" s="381">
        <v>19601.77</v>
      </c>
      <c r="W5" s="381">
        <v>76960</v>
      </c>
      <c r="X5" s="381">
        <v>28385.3</v>
      </c>
      <c r="Y5" s="381">
        <v>76960</v>
      </c>
      <c r="Z5" s="381">
        <v>28965.75</v>
      </c>
      <c r="AA5" s="377" t="s">
        <v>201</v>
      </c>
      <c r="AB5" s="377" t="s">
        <v>202</v>
      </c>
      <c r="AC5" s="377" t="s">
        <v>203</v>
      </c>
      <c r="AD5" s="377" t="s">
        <v>204</v>
      </c>
      <c r="AE5" s="377" t="s">
        <v>200</v>
      </c>
      <c r="AF5" s="377" t="s">
        <v>192</v>
      </c>
      <c r="AG5" s="377" t="s">
        <v>179</v>
      </c>
      <c r="AH5" s="380">
        <v>37</v>
      </c>
      <c r="AI5" s="380">
        <v>280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6">
        <v>1</v>
      </c>
      <c r="AQ5" s="386">
        <v>1</v>
      </c>
      <c r="AR5" s="384" t="s">
        <v>184</v>
      </c>
      <c r="AS5" s="388">
        <f t="shared" si="27"/>
        <v>1</v>
      </c>
      <c r="AT5">
        <f t="shared" si="28"/>
        <v>1</v>
      </c>
      <c r="AU5" s="388">
        <f>IF(AT5=0,"",IF(AND(AT5=1,M5="F",SUMIF(C2:C23,C5,AS2:AS23)&lt;=1),SUMIF(C2:C23,C5,AS2:AS23),IF(AND(AT5=1,M5="F",SUMIF(C2:C23,C5,AS2:AS23)&gt;1),1,"")))</f>
        <v>1</v>
      </c>
      <c r="AV5" s="388" t="str">
        <f>IF(AT5=0,"",IF(AND(AT5=3,M5="F",SUMIF(C2:C23,C5,AS2:AS23)&lt;=1),SUMIF(C2:C23,C5,AS2:AS23),IF(AND(AT5=3,M5="F",SUMIF(C2:C23,C5,AS2:AS23)&gt;1),1,"")))</f>
        <v/>
      </c>
      <c r="AW5" s="388">
        <f>SUMIF(C2:C23,C5,O2:O23)</f>
        <v>1</v>
      </c>
      <c r="AX5" s="388">
        <f>IF(AND(M5="F",AS5&lt;&gt;0),SUMIF(C2:C23,C5,W2:W23),0)</f>
        <v>76960</v>
      </c>
      <c r="AY5" s="388">
        <f t="shared" si="29"/>
        <v>76960</v>
      </c>
      <c r="AZ5" s="388" t="str">
        <f t="shared" si="30"/>
        <v/>
      </c>
      <c r="BA5" s="388">
        <f t="shared" si="31"/>
        <v>0</v>
      </c>
      <c r="BB5" s="388">
        <f t="shared" si="0"/>
        <v>12500</v>
      </c>
      <c r="BC5" s="388">
        <f t="shared" si="1"/>
        <v>0</v>
      </c>
      <c r="BD5" s="388">
        <f t="shared" si="2"/>
        <v>4771.5199999999995</v>
      </c>
      <c r="BE5" s="388">
        <f t="shared" si="3"/>
        <v>1115.92</v>
      </c>
      <c r="BF5" s="388">
        <f t="shared" si="4"/>
        <v>9189.0240000000013</v>
      </c>
      <c r="BG5" s="388">
        <f t="shared" si="5"/>
        <v>554.88160000000005</v>
      </c>
      <c r="BH5" s="388">
        <f t="shared" si="6"/>
        <v>0</v>
      </c>
      <c r="BI5" s="388">
        <f t="shared" si="7"/>
        <v>0</v>
      </c>
      <c r="BJ5" s="388">
        <f t="shared" si="8"/>
        <v>253.96799999999999</v>
      </c>
      <c r="BK5" s="388">
        <f t="shared" si="9"/>
        <v>0</v>
      </c>
      <c r="BL5" s="388">
        <f t="shared" si="32"/>
        <v>15885.313600000001</v>
      </c>
      <c r="BM5" s="388">
        <f t="shared" si="33"/>
        <v>0</v>
      </c>
      <c r="BN5" s="388">
        <f t="shared" si="10"/>
        <v>13750</v>
      </c>
      <c r="BO5" s="388">
        <f t="shared" si="11"/>
        <v>0</v>
      </c>
      <c r="BP5" s="388">
        <f t="shared" si="12"/>
        <v>4771.5199999999995</v>
      </c>
      <c r="BQ5" s="388">
        <f t="shared" si="13"/>
        <v>1115.92</v>
      </c>
      <c r="BR5" s="388">
        <f t="shared" si="14"/>
        <v>8604.1280000000006</v>
      </c>
      <c r="BS5" s="388">
        <f t="shared" si="15"/>
        <v>554.88160000000005</v>
      </c>
      <c r="BT5" s="388">
        <f t="shared" si="16"/>
        <v>0</v>
      </c>
      <c r="BU5" s="388">
        <f t="shared" si="17"/>
        <v>0</v>
      </c>
      <c r="BV5" s="388">
        <f t="shared" si="18"/>
        <v>169.31200000000001</v>
      </c>
      <c r="BW5" s="388">
        <f t="shared" si="19"/>
        <v>0</v>
      </c>
      <c r="BX5" s="388">
        <f t="shared" si="34"/>
        <v>15215.7616</v>
      </c>
      <c r="BY5" s="388">
        <f t="shared" si="35"/>
        <v>0</v>
      </c>
      <c r="BZ5" s="388">
        <f t="shared" si="36"/>
        <v>1250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-584.89600000000075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-84.655999999999992</v>
      </c>
      <c r="CI5" s="388">
        <f t="shared" si="26"/>
        <v>0</v>
      </c>
      <c r="CJ5" s="388">
        <f t="shared" si="39"/>
        <v>-669.5520000000007</v>
      </c>
      <c r="CK5" s="388" t="str">
        <f t="shared" si="40"/>
        <v/>
      </c>
      <c r="CL5" s="388" t="str">
        <f t="shared" si="41"/>
        <v/>
      </c>
      <c r="CM5" s="388" t="str">
        <f t="shared" si="42"/>
        <v/>
      </c>
      <c r="CN5" s="388" t="str">
        <f t="shared" si="43"/>
        <v>0001-00</v>
      </c>
    </row>
    <row r="6" spans="1:92" ht="15.75" thickBot="1" x14ac:dyDescent="0.3">
      <c r="A6" s="377" t="s">
        <v>162</v>
      </c>
      <c r="B6" s="377" t="s">
        <v>163</v>
      </c>
      <c r="C6" s="377" t="s">
        <v>205</v>
      </c>
      <c r="D6" s="377" t="s">
        <v>206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207</v>
      </c>
      <c r="L6" s="377" t="s">
        <v>167</v>
      </c>
      <c r="M6" s="377" t="s">
        <v>172</v>
      </c>
      <c r="N6" s="377" t="s">
        <v>173</v>
      </c>
      <c r="O6" s="380">
        <v>1</v>
      </c>
      <c r="P6" s="386">
        <v>1</v>
      </c>
      <c r="Q6" s="386">
        <v>1</v>
      </c>
      <c r="R6" s="381">
        <v>80</v>
      </c>
      <c r="S6" s="386">
        <v>1</v>
      </c>
      <c r="T6" s="381">
        <v>99924.9</v>
      </c>
      <c r="U6" s="381">
        <v>0</v>
      </c>
      <c r="V6" s="381">
        <v>32441.52</v>
      </c>
      <c r="W6" s="381">
        <v>104707.2</v>
      </c>
      <c r="X6" s="381">
        <v>34112.58</v>
      </c>
      <c r="Y6" s="381">
        <v>104707.2</v>
      </c>
      <c r="Z6" s="381">
        <v>34451.629999999997</v>
      </c>
      <c r="AA6" s="377" t="s">
        <v>208</v>
      </c>
      <c r="AB6" s="377" t="s">
        <v>209</v>
      </c>
      <c r="AC6" s="377" t="s">
        <v>210</v>
      </c>
      <c r="AD6" s="377" t="s">
        <v>211</v>
      </c>
      <c r="AE6" s="377" t="s">
        <v>207</v>
      </c>
      <c r="AF6" s="377" t="s">
        <v>212</v>
      </c>
      <c r="AG6" s="377" t="s">
        <v>179</v>
      </c>
      <c r="AH6" s="382">
        <v>50.34</v>
      </c>
      <c r="AI6" s="380">
        <v>45422</v>
      </c>
      <c r="AJ6" s="377" t="s">
        <v>180</v>
      </c>
      <c r="AK6" s="377" t="s">
        <v>181</v>
      </c>
      <c r="AL6" s="377" t="s">
        <v>182</v>
      </c>
      <c r="AM6" s="377" t="s">
        <v>183</v>
      </c>
      <c r="AN6" s="377" t="s">
        <v>66</v>
      </c>
      <c r="AO6" s="380">
        <v>80</v>
      </c>
      <c r="AP6" s="386">
        <v>1</v>
      </c>
      <c r="AQ6" s="386">
        <v>1</v>
      </c>
      <c r="AR6" s="384" t="s">
        <v>184</v>
      </c>
      <c r="AS6" s="388">
        <f t="shared" si="27"/>
        <v>1</v>
      </c>
      <c r="AT6">
        <f t="shared" si="28"/>
        <v>1</v>
      </c>
      <c r="AU6" s="388">
        <f>IF(AT6=0,"",IF(AND(AT6=1,M6="F",SUMIF(C2:C23,C6,AS2:AS23)&lt;=1),SUMIF(C2:C23,C6,AS2:AS23),IF(AND(AT6=1,M6="F",SUMIF(C2:C23,C6,AS2:AS23)&gt;1),1,"")))</f>
        <v>1</v>
      </c>
      <c r="AV6" s="388" t="str">
        <f>IF(AT6=0,"",IF(AND(AT6=3,M6="F",SUMIF(C2:C23,C6,AS2:AS23)&lt;=1),SUMIF(C2:C23,C6,AS2:AS23),IF(AND(AT6=3,M6="F",SUMIF(C2:C23,C6,AS2:AS23)&gt;1),1,"")))</f>
        <v/>
      </c>
      <c r="AW6" s="388">
        <f>SUMIF(C2:C23,C6,O2:O23)</f>
        <v>1</v>
      </c>
      <c r="AX6" s="388">
        <f>IF(AND(M6="F",AS6&lt;&gt;0),SUMIF(C2:C23,C6,W2:W23),0)</f>
        <v>104707.2</v>
      </c>
      <c r="AY6" s="388">
        <f t="shared" si="29"/>
        <v>104707.2</v>
      </c>
      <c r="AZ6" s="388" t="str">
        <f t="shared" si="30"/>
        <v/>
      </c>
      <c r="BA6" s="388">
        <f t="shared" si="31"/>
        <v>0</v>
      </c>
      <c r="BB6" s="388">
        <f t="shared" si="0"/>
        <v>12500</v>
      </c>
      <c r="BC6" s="388">
        <f t="shared" si="1"/>
        <v>0</v>
      </c>
      <c r="BD6" s="388">
        <f t="shared" si="2"/>
        <v>6491.8463999999994</v>
      </c>
      <c r="BE6" s="388">
        <f t="shared" si="3"/>
        <v>1518.2544</v>
      </c>
      <c r="BF6" s="388">
        <f t="shared" si="4"/>
        <v>12502.03968</v>
      </c>
      <c r="BG6" s="388">
        <f t="shared" si="5"/>
        <v>754.93891199999996</v>
      </c>
      <c r="BH6" s="388">
        <f t="shared" si="6"/>
        <v>0</v>
      </c>
      <c r="BI6" s="388">
        <f t="shared" si="7"/>
        <v>0</v>
      </c>
      <c r="BJ6" s="388">
        <f t="shared" si="8"/>
        <v>345.53375999999997</v>
      </c>
      <c r="BK6" s="388">
        <f t="shared" si="9"/>
        <v>0</v>
      </c>
      <c r="BL6" s="388">
        <f t="shared" si="32"/>
        <v>21612.613151999998</v>
      </c>
      <c r="BM6" s="388">
        <f t="shared" si="33"/>
        <v>0</v>
      </c>
      <c r="BN6" s="388">
        <f t="shared" si="10"/>
        <v>13750</v>
      </c>
      <c r="BO6" s="388">
        <f t="shared" si="11"/>
        <v>0</v>
      </c>
      <c r="BP6" s="388">
        <f t="shared" si="12"/>
        <v>6491.8463999999994</v>
      </c>
      <c r="BQ6" s="388">
        <f t="shared" si="13"/>
        <v>1518.2544</v>
      </c>
      <c r="BR6" s="388">
        <f t="shared" si="14"/>
        <v>11706.264959999999</v>
      </c>
      <c r="BS6" s="388">
        <f t="shared" si="15"/>
        <v>754.93891199999996</v>
      </c>
      <c r="BT6" s="388">
        <f t="shared" si="16"/>
        <v>0</v>
      </c>
      <c r="BU6" s="388">
        <f t="shared" si="17"/>
        <v>0</v>
      </c>
      <c r="BV6" s="388">
        <f t="shared" si="18"/>
        <v>230.35584</v>
      </c>
      <c r="BW6" s="388">
        <f t="shared" si="19"/>
        <v>0</v>
      </c>
      <c r="BX6" s="388">
        <f t="shared" si="34"/>
        <v>20701.660511999999</v>
      </c>
      <c r="BY6" s="388">
        <f t="shared" si="35"/>
        <v>0</v>
      </c>
      <c r="BZ6" s="388">
        <f t="shared" si="36"/>
        <v>1250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-795.77472000000103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-115.17791999999999</v>
      </c>
      <c r="CI6" s="388">
        <f t="shared" si="26"/>
        <v>0</v>
      </c>
      <c r="CJ6" s="388">
        <f t="shared" si="39"/>
        <v>-910.952640000001</v>
      </c>
      <c r="CK6" s="388" t="str">
        <f t="shared" si="40"/>
        <v/>
      </c>
      <c r="CL6" s="388" t="str">
        <f t="shared" si="41"/>
        <v/>
      </c>
      <c r="CM6" s="388" t="str">
        <f t="shared" si="42"/>
        <v/>
      </c>
      <c r="CN6" s="388" t="str">
        <f t="shared" si="43"/>
        <v>0001-00</v>
      </c>
    </row>
    <row r="7" spans="1:92" ht="15.75" thickBot="1" x14ac:dyDescent="0.3">
      <c r="A7" s="377" t="s">
        <v>162</v>
      </c>
      <c r="B7" s="377" t="s">
        <v>163</v>
      </c>
      <c r="C7" s="377" t="s">
        <v>213</v>
      </c>
      <c r="D7" s="377" t="s">
        <v>186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187</v>
      </c>
      <c r="L7" s="377" t="s">
        <v>182</v>
      </c>
      <c r="M7" s="377" t="s">
        <v>172</v>
      </c>
      <c r="N7" s="377" t="s">
        <v>173</v>
      </c>
      <c r="O7" s="380">
        <v>1</v>
      </c>
      <c r="P7" s="386">
        <v>1</v>
      </c>
      <c r="Q7" s="386">
        <v>1</v>
      </c>
      <c r="R7" s="381">
        <v>80</v>
      </c>
      <c r="S7" s="386">
        <v>1</v>
      </c>
      <c r="T7" s="381">
        <v>79862.66</v>
      </c>
      <c r="U7" s="381">
        <v>0</v>
      </c>
      <c r="V7" s="381">
        <v>28490.89</v>
      </c>
      <c r="W7" s="381">
        <v>84344</v>
      </c>
      <c r="X7" s="381">
        <v>29909.42</v>
      </c>
      <c r="Y7" s="381">
        <v>84344</v>
      </c>
      <c r="Z7" s="381">
        <v>30425.62</v>
      </c>
      <c r="AA7" s="377" t="s">
        <v>214</v>
      </c>
      <c r="AB7" s="377" t="s">
        <v>215</v>
      </c>
      <c r="AC7" s="377" t="s">
        <v>216</v>
      </c>
      <c r="AD7" s="377" t="s">
        <v>217</v>
      </c>
      <c r="AE7" s="377" t="s">
        <v>187</v>
      </c>
      <c r="AF7" s="377" t="s">
        <v>192</v>
      </c>
      <c r="AG7" s="377" t="s">
        <v>179</v>
      </c>
      <c r="AH7" s="382">
        <v>40.549999999999997</v>
      </c>
      <c r="AI7" s="382">
        <v>18637.5</v>
      </c>
      <c r="AJ7" s="377" t="s">
        <v>180</v>
      </c>
      <c r="AK7" s="377" t="s">
        <v>181</v>
      </c>
      <c r="AL7" s="377" t="s">
        <v>182</v>
      </c>
      <c r="AM7" s="377" t="s">
        <v>183</v>
      </c>
      <c r="AN7" s="377" t="s">
        <v>66</v>
      </c>
      <c r="AO7" s="380">
        <v>80</v>
      </c>
      <c r="AP7" s="386">
        <v>1</v>
      </c>
      <c r="AQ7" s="386">
        <v>1</v>
      </c>
      <c r="AR7" s="384" t="s">
        <v>184</v>
      </c>
      <c r="AS7" s="388">
        <f t="shared" si="27"/>
        <v>1</v>
      </c>
      <c r="AT7">
        <f t="shared" si="28"/>
        <v>1</v>
      </c>
      <c r="AU7" s="388">
        <f>IF(AT7=0,"",IF(AND(AT7=1,M7="F",SUMIF(C2:C23,C7,AS2:AS23)&lt;=1),SUMIF(C2:C23,C7,AS2:AS23),IF(AND(AT7=1,M7="F",SUMIF(C2:C23,C7,AS2:AS23)&gt;1),1,"")))</f>
        <v>1</v>
      </c>
      <c r="AV7" s="388" t="str">
        <f>IF(AT7=0,"",IF(AND(AT7=3,M7="F",SUMIF(C2:C23,C7,AS2:AS23)&lt;=1),SUMIF(C2:C23,C7,AS2:AS23),IF(AND(AT7=3,M7="F",SUMIF(C2:C23,C7,AS2:AS23)&gt;1),1,"")))</f>
        <v/>
      </c>
      <c r="AW7" s="388">
        <f>SUMIF(C2:C23,C7,O2:O23)</f>
        <v>1</v>
      </c>
      <c r="AX7" s="388">
        <f>IF(AND(M7="F",AS7&lt;&gt;0),SUMIF(C2:C23,C7,W2:W23),0)</f>
        <v>84344</v>
      </c>
      <c r="AY7" s="388">
        <f t="shared" si="29"/>
        <v>84344</v>
      </c>
      <c r="AZ7" s="388" t="str">
        <f t="shared" si="30"/>
        <v/>
      </c>
      <c r="BA7" s="388">
        <f t="shared" si="31"/>
        <v>0</v>
      </c>
      <c r="BB7" s="388">
        <f t="shared" si="0"/>
        <v>12500</v>
      </c>
      <c r="BC7" s="388">
        <f t="shared" si="1"/>
        <v>0</v>
      </c>
      <c r="BD7" s="388">
        <f t="shared" si="2"/>
        <v>5229.3279999999995</v>
      </c>
      <c r="BE7" s="388">
        <f t="shared" si="3"/>
        <v>1222.9880000000001</v>
      </c>
      <c r="BF7" s="388">
        <f t="shared" si="4"/>
        <v>10070.6736</v>
      </c>
      <c r="BG7" s="388">
        <f t="shared" si="5"/>
        <v>608.12023999999997</v>
      </c>
      <c r="BH7" s="388">
        <f t="shared" si="6"/>
        <v>0</v>
      </c>
      <c r="BI7" s="388">
        <f t="shared" si="7"/>
        <v>0</v>
      </c>
      <c r="BJ7" s="388">
        <f t="shared" si="8"/>
        <v>278.33519999999999</v>
      </c>
      <c r="BK7" s="388">
        <f t="shared" si="9"/>
        <v>0</v>
      </c>
      <c r="BL7" s="388">
        <f t="shared" si="32"/>
        <v>17409.445040000002</v>
      </c>
      <c r="BM7" s="388">
        <f t="shared" si="33"/>
        <v>0</v>
      </c>
      <c r="BN7" s="388">
        <f t="shared" si="10"/>
        <v>13750</v>
      </c>
      <c r="BO7" s="388">
        <f t="shared" si="11"/>
        <v>0</v>
      </c>
      <c r="BP7" s="388">
        <f t="shared" si="12"/>
        <v>5229.3279999999995</v>
      </c>
      <c r="BQ7" s="388">
        <f t="shared" si="13"/>
        <v>1222.9880000000001</v>
      </c>
      <c r="BR7" s="388">
        <f t="shared" si="14"/>
        <v>9429.6592000000001</v>
      </c>
      <c r="BS7" s="388">
        <f t="shared" si="15"/>
        <v>608.12023999999997</v>
      </c>
      <c r="BT7" s="388">
        <f t="shared" si="16"/>
        <v>0</v>
      </c>
      <c r="BU7" s="388">
        <f t="shared" si="17"/>
        <v>0</v>
      </c>
      <c r="BV7" s="388">
        <f t="shared" si="18"/>
        <v>185.55680000000001</v>
      </c>
      <c r="BW7" s="388">
        <f t="shared" si="19"/>
        <v>0</v>
      </c>
      <c r="BX7" s="388">
        <f t="shared" si="34"/>
        <v>16675.652239999999</v>
      </c>
      <c r="BY7" s="388">
        <f t="shared" si="35"/>
        <v>0</v>
      </c>
      <c r="BZ7" s="388">
        <f t="shared" si="36"/>
        <v>1250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-641.01440000000082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-92.778399999999991</v>
      </c>
      <c r="CI7" s="388">
        <f t="shared" si="26"/>
        <v>0</v>
      </c>
      <c r="CJ7" s="388">
        <f t="shared" si="39"/>
        <v>-733.79280000000085</v>
      </c>
      <c r="CK7" s="388" t="str">
        <f t="shared" si="40"/>
        <v/>
      </c>
      <c r="CL7" s="388" t="str">
        <f t="shared" si="41"/>
        <v/>
      </c>
      <c r="CM7" s="388" t="str">
        <f t="shared" si="42"/>
        <v/>
      </c>
      <c r="CN7" s="388" t="str">
        <f t="shared" si="43"/>
        <v>0001-00</v>
      </c>
    </row>
    <row r="8" spans="1:92" ht="15.75" thickBot="1" x14ac:dyDescent="0.3">
      <c r="A8" s="377" t="s">
        <v>162</v>
      </c>
      <c r="B8" s="377" t="s">
        <v>163</v>
      </c>
      <c r="C8" s="377" t="s">
        <v>218</v>
      </c>
      <c r="D8" s="377" t="s">
        <v>219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220</v>
      </c>
      <c r="L8" s="377" t="s">
        <v>167</v>
      </c>
      <c r="M8" s="377" t="s">
        <v>172</v>
      </c>
      <c r="N8" s="377" t="s">
        <v>173</v>
      </c>
      <c r="O8" s="380">
        <v>1</v>
      </c>
      <c r="P8" s="386">
        <v>1</v>
      </c>
      <c r="Q8" s="386">
        <v>1</v>
      </c>
      <c r="R8" s="381">
        <v>80</v>
      </c>
      <c r="S8" s="386">
        <v>1</v>
      </c>
      <c r="T8" s="381">
        <v>103482.4</v>
      </c>
      <c r="U8" s="381">
        <v>0</v>
      </c>
      <c r="V8" s="381">
        <v>32829.35</v>
      </c>
      <c r="W8" s="381">
        <v>114400</v>
      </c>
      <c r="X8" s="381">
        <v>36113.300000000003</v>
      </c>
      <c r="Y8" s="381">
        <v>114400</v>
      </c>
      <c r="Z8" s="381">
        <v>36368.019999999997</v>
      </c>
      <c r="AA8" s="377" t="s">
        <v>221</v>
      </c>
      <c r="AB8" s="377" t="s">
        <v>222</v>
      </c>
      <c r="AC8" s="377" t="s">
        <v>223</v>
      </c>
      <c r="AD8" s="377" t="s">
        <v>224</v>
      </c>
      <c r="AE8" s="377" t="s">
        <v>220</v>
      </c>
      <c r="AF8" s="377" t="s">
        <v>225</v>
      </c>
      <c r="AG8" s="377" t="s">
        <v>179</v>
      </c>
      <c r="AH8" s="380">
        <v>55</v>
      </c>
      <c r="AI8" s="382">
        <v>31781.9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6">
        <v>1</v>
      </c>
      <c r="AQ8" s="386">
        <v>1</v>
      </c>
      <c r="AR8" s="384" t="s">
        <v>184</v>
      </c>
      <c r="AS8" s="388">
        <f t="shared" si="27"/>
        <v>1</v>
      </c>
      <c r="AT8">
        <f t="shared" si="28"/>
        <v>1</v>
      </c>
      <c r="AU8" s="388">
        <f>IF(AT8=0,"",IF(AND(AT8=1,M8="F",SUMIF(C2:C23,C8,AS2:AS23)&lt;=1),SUMIF(C2:C23,C8,AS2:AS23),IF(AND(AT8=1,M8="F",SUMIF(C2:C23,C8,AS2:AS23)&gt;1),1,"")))</f>
        <v>1</v>
      </c>
      <c r="AV8" s="388" t="str">
        <f>IF(AT8=0,"",IF(AND(AT8=3,M8="F",SUMIF(C2:C23,C8,AS2:AS23)&lt;=1),SUMIF(C2:C23,C8,AS2:AS23),IF(AND(AT8=3,M8="F",SUMIF(C2:C23,C8,AS2:AS23)&gt;1),1,"")))</f>
        <v/>
      </c>
      <c r="AW8" s="388">
        <f>SUMIF(C2:C23,C8,O2:O23)</f>
        <v>1</v>
      </c>
      <c r="AX8" s="388">
        <f>IF(AND(M8="F",AS8&lt;&gt;0),SUMIF(C2:C23,C8,W2:W23),0)</f>
        <v>114400</v>
      </c>
      <c r="AY8" s="388">
        <f t="shared" si="29"/>
        <v>114400</v>
      </c>
      <c r="AZ8" s="388" t="str">
        <f t="shared" si="30"/>
        <v/>
      </c>
      <c r="BA8" s="388">
        <f t="shared" si="31"/>
        <v>0</v>
      </c>
      <c r="BB8" s="388">
        <f t="shared" si="0"/>
        <v>12500</v>
      </c>
      <c r="BC8" s="388">
        <f t="shared" si="1"/>
        <v>0</v>
      </c>
      <c r="BD8" s="388">
        <f t="shared" si="2"/>
        <v>7092.8</v>
      </c>
      <c r="BE8" s="388">
        <f t="shared" si="3"/>
        <v>1658.8000000000002</v>
      </c>
      <c r="BF8" s="388">
        <f t="shared" si="4"/>
        <v>13659.36</v>
      </c>
      <c r="BG8" s="388">
        <f t="shared" si="5"/>
        <v>824.82400000000007</v>
      </c>
      <c r="BH8" s="388">
        <f t="shared" si="6"/>
        <v>0</v>
      </c>
      <c r="BI8" s="388">
        <f t="shared" si="7"/>
        <v>0</v>
      </c>
      <c r="BJ8" s="388">
        <f t="shared" si="8"/>
        <v>377.52</v>
      </c>
      <c r="BK8" s="388">
        <f t="shared" si="9"/>
        <v>0</v>
      </c>
      <c r="BL8" s="388">
        <f t="shared" si="32"/>
        <v>23613.304</v>
      </c>
      <c r="BM8" s="388">
        <f t="shared" si="33"/>
        <v>0</v>
      </c>
      <c r="BN8" s="388">
        <f t="shared" si="10"/>
        <v>13750</v>
      </c>
      <c r="BO8" s="388">
        <f t="shared" si="11"/>
        <v>0</v>
      </c>
      <c r="BP8" s="388">
        <f t="shared" si="12"/>
        <v>7092.8</v>
      </c>
      <c r="BQ8" s="388">
        <f t="shared" si="13"/>
        <v>1658.8000000000002</v>
      </c>
      <c r="BR8" s="388">
        <f t="shared" si="14"/>
        <v>12789.92</v>
      </c>
      <c r="BS8" s="388">
        <f t="shared" si="15"/>
        <v>824.82400000000007</v>
      </c>
      <c r="BT8" s="388">
        <f t="shared" si="16"/>
        <v>0</v>
      </c>
      <c r="BU8" s="388">
        <f t="shared" si="17"/>
        <v>0</v>
      </c>
      <c r="BV8" s="388">
        <f t="shared" si="18"/>
        <v>251.68</v>
      </c>
      <c r="BW8" s="388">
        <f t="shared" si="19"/>
        <v>0</v>
      </c>
      <c r="BX8" s="388">
        <f t="shared" si="34"/>
        <v>22618.024000000001</v>
      </c>
      <c r="BY8" s="388">
        <f t="shared" si="35"/>
        <v>0</v>
      </c>
      <c r="BZ8" s="388">
        <f t="shared" si="36"/>
        <v>1250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-869.44000000000108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-125.83999999999999</v>
      </c>
      <c r="CI8" s="388">
        <f t="shared" si="26"/>
        <v>0</v>
      </c>
      <c r="CJ8" s="388">
        <f t="shared" si="39"/>
        <v>-995.28000000000111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0001-00</v>
      </c>
    </row>
    <row r="9" spans="1:92" ht="15.75" thickBot="1" x14ac:dyDescent="0.3">
      <c r="A9" s="377" t="s">
        <v>162</v>
      </c>
      <c r="B9" s="377" t="s">
        <v>163</v>
      </c>
      <c r="C9" s="377" t="s">
        <v>226</v>
      </c>
      <c r="D9" s="377" t="s">
        <v>227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228</v>
      </c>
      <c r="L9" s="377" t="s">
        <v>167</v>
      </c>
      <c r="M9" s="377" t="s">
        <v>172</v>
      </c>
      <c r="N9" s="377" t="s">
        <v>173</v>
      </c>
      <c r="O9" s="380">
        <v>1</v>
      </c>
      <c r="P9" s="386">
        <v>1</v>
      </c>
      <c r="Q9" s="386">
        <v>1</v>
      </c>
      <c r="R9" s="381">
        <v>80</v>
      </c>
      <c r="S9" s="386">
        <v>1</v>
      </c>
      <c r="T9" s="381">
        <v>131907.20000000001</v>
      </c>
      <c r="U9" s="381">
        <v>0</v>
      </c>
      <c r="V9" s="381">
        <v>39185.53</v>
      </c>
      <c r="W9" s="381">
        <v>141440</v>
      </c>
      <c r="X9" s="381">
        <v>41694.620000000003</v>
      </c>
      <c r="Y9" s="381">
        <v>141440</v>
      </c>
      <c r="Z9" s="381">
        <v>41714.089999999997</v>
      </c>
      <c r="AA9" s="377" t="s">
        <v>229</v>
      </c>
      <c r="AB9" s="377" t="s">
        <v>230</v>
      </c>
      <c r="AC9" s="377" t="s">
        <v>210</v>
      </c>
      <c r="AD9" s="377" t="s">
        <v>231</v>
      </c>
      <c r="AE9" s="377" t="s">
        <v>228</v>
      </c>
      <c r="AF9" s="377" t="s">
        <v>225</v>
      </c>
      <c r="AG9" s="377" t="s">
        <v>179</v>
      </c>
      <c r="AH9" s="380">
        <v>68</v>
      </c>
      <c r="AI9" s="382">
        <v>62457.5</v>
      </c>
      <c r="AJ9" s="377" t="s">
        <v>180</v>
      </c>
      <c r="AK9" s="377" t="s">
        <v>181</v>
      </c>
      <c r="AL9" s="377" t="s">
        <v>182</v>
      </c>
      <c r="AM9" s="377" t="s">
        <v>183</v>
      </c>
      <c r="AN9" s="377" t="s">
        <v>66</v>
      </c>
      <c r="AO9" s="380">
        <v>80</v>
      </c>
      <c r="AP9" s="386">
        <v>1</v>
      </c>
      <c r="AQ9" s="386">
        <v>1</v>
      </c>
      <c r="AR9" s="384" t="s">
        <v>184</v>
      </c>
      <c r="AS9" s="388">
        <f t="shared" si="27"/>
        <v>1</v>
      </c>
      <c r="AT9">
        <f t="shared" si="28"/>
        <v>1</v>
      </c>
      <c r="AU9" s="388">
        <f>IF(AT9=0,"",IF(AND(AT9=1,M9="F",SUMIF(C2:C23,C9,AS2:AS23)&lt;=1),SUMIF(C2:C23,C9,AS2:AS23),IF(AND(AT9=1,M9="F",SUMIF(C2:C23,C9,AS2:AS23)&gt;1),1,"")))</f>
        <v>1</v>
      </c>
      <c r="AV9" s="388" t="str">
        <f>IF(AT9=0,"",IF(AND(AT9=3,M9="F",SUMIF(C2:C23,C9,AS2:AS23)&lt;=1),SUMIF(C2:C23,C9,AS2:AS23),IF(AND(AT9=3,M9="F",SUMIF(C2:C23,C9,AS2:AS23)&gt;1),1,"")))</f>
        <v/>
      </c>
      <c r="AW9" s="388">
        <f>SUMIF(C2:C23,C9,O2:O23)</f>
        <v>1</v>
      </c>
      <c r="AX9" s="388">
        <f>IF(AND(M9="F",AS9&lt;&gt;0),SUMIF(C2:C23,C9,W2:W23),0)</f>
        <v>141440</v>
      </c>
      <c r="AY9" s="388">
        <f t="shared" si="29"/>
        <v>141440</v>
      </c>
      <c r="AZ9" s="388" t="str">
        <f t="shared" si="30"/>
        <v/>
      </c>
      <c r="BA9" s="388">
        <f t="shared" si="31"/>
        <v>0</v>
      </c>
      <c r="BB9" s="388">
        <f t="shared" si="0"/>
        <v>12500</v>
      </c>
      <c r="BC9" s="388">
        <f t="shared" si="1"/>
        <v>0</v>
      </c>
      <c r="BD9" s="388">
        <f t="shared" si="2"/>
        <v>8769.2800000000007</v>
      </c>
      <c r="BE9" s="388">
        <f t="shared" si="3"/>
        <v>2050.88</v>
      </c>
      <c r="BF9" s="388">
        <f t="shared" si="4"/>
        <v>16887.936000000002</v>
      </c>
      <c r="BG9" s="388">
        <f t="shared" si="5"/>
        <v>1019.7824000000001</v>
      </c>
      <c r="BH9" s="388">
        <f t="shared" si="6"/>
        <v>0</v>
      </c>
      <c r="BI9" s="388">
        <f t="shared" si="7"/>
        <v>0</v>
      </c>
      <c r="BJ9" s="388">
        <f t="shared" si="8"/>
        <v>466.75200000000001</v>
      </c>
      <c r="BK9" s="388">
        <f t="shared" si="9"/>
        <v>0</v>
      </c>
      <c r="BL9" s="388">
        <f t="shared" si="32"/>
        <v>29194.630400000002</v>
      </c>
      <c r="BM9" s="388">
        <f t="shared" si="33"/>
        <v>0</v>
      </c>
      <c r="BN9" s="388">
        <f t="shared" si="10"/>
        <v>13750</v>
      </c>
      <c r="BO9" s="388">
        <f t="shared" si="11"/>
        <v>0</v>
      </c>
      <c r="BP9" s="388">
        <f t="shared" si="12"/>
        <v>8769.2800000000007</v>
      </c>
      <c r="BQ9" s="388">
        <f t="shared" si="13"/>
        <v>2050.88</v>
      </c>
      <c r="BR9" s="388">
        <f t="shared" si="14"/>
        <v>15812.992</v>
      </c>
      <c r="BS9" s="388">
        <f t="shared" si="15"/>
        <v>1019.7824000000001</v>
      </c>
      <c r="BT9" s="388">
        <f t="shared" si="16"/>
        <v>0</v>
      </c>
      <c r="BU9" s="388">
        <f t="shared" si="17"/>
        <v>0</v>
      </c>
      <c r="BV9" s="388">
        <f t="shared" si="18"/>
        <v>311.16800000000001</v>
      </c>
      <c r="BW9" s="388">
        <f t="shared" si="19"/>
        <v>0</v>
      </c>
      <c r="BX9" s="388">
        <f t="shared" si="34"/>
        <v>27964.102400000003</v>
      </c>
      <c r="BY9" s="388">
        <f t="shared" si="35"/>
        <v>0</v>
      </c>
      <c r="BZ9" s="388">
        <f t="shared" si="36"/>
        <v>1250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-1074.9440000000013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-155.58399999999997</v>
      </c>
      <c r="CI9" s="388">
        <f t="shared" si="26"/>
        <v>0</v>
      </c>
      <c r="CJ9" s="388">
        <f t="shared" si="39"/>
        <v>-1230.5280000000014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0001-00</v>
      </c>
    </row>
    <row r="10" spans="1:92" ht="15.75" thickBot="1" x14ac:dyDescent="0.3">
      <c r="A10" s="377" t="s">
        <v>162</v>
      </c>
      <c r="B10" s="377" t="s">
        <v>163</v>
      </c>
      <c r="C10" s="377" t="s">
        <v>232</v>
      </c>
      <c r="D10" s="377" t="s">
        <v>233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234</v>
      </c>
      <c r="L10" s="377" t="s">
        <v>235</v>
      </c>
      <c r="M10" s="377" t="s">
        <v>172</v>
      </c>
      <c r="N10" s="377" t="s">
        <v>173</v>
      </c>
      <c r="O10" s="380">
        <v>1</v>
      </c>
      <c r="P10" s="386">
        <v>1</v>
      </c>
      <c r="Q10" s="386">
        <v>1</v>
      </c>
      <c r="R10" s="381">
        <v>80</v>
      </c>
      <c r="S10" s="386">
        <v>1</v>
      </c>
      <c r="T10" s="381">
        <v>73910.86</v>
      </c>
      <c r="U10" s="381">
        <v>0</v>
      </c>
      <c r="V10" s="381">
        <v>27315.22</v>
      </c>
      <c r="W10" s="381">
        <v>78124.800000000003</v>
      </c>
      <c r="X10" s="381">
        <v>28625.71</v>
      </c>
      <c r="Y10" s="381">
        <v>78124.800000000003</v>
      </c>
      <c r="Z10" s="381">
        <v>29196.02</v>
      </c>
      <c r="AA10" s="377" t="s">
        <v>236</v>
      </c>
      <c r="AB10" s="377" t="s">
        <v>237</v>
      </c>
      <c r="AC10" s="377" t="s">
        <v>238</v>
      </c>
      <c r="AD10" s="377" t="s">
        <v>239</v>
      </c>
      <c r="AE10" s="377" t="s">
        <v>234</v>
      </c>
      <c r="AF10" s="377" t="s">
        <v>240</v>
      </c>
      <c r="AG10" s="377" t="s">
        <v>179</v>
      </c>
      <c r="AH10" s="382">
        <v>37.56</v>
      </c>
      <c r="AI10" s="382">
        <v>4537.5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6">
        <v>1</v>
      </c>
      <c r="AQ10" s="386">
        <v>1</v>
      </c>
      <c r="AR10" s="384" t="s">
        <v>184</v>
      </c>
      <c r="AS10" s="388">
        <f t="shared" si="27"/>
        <v>1</v>
      </c>
      <c r="AT10">
        <f t="shared" si="28"/>
        <v>1</v>
      </c>
      <c r="AU10" s="388">
        <f>IF(AT10=0,"",IF(AND(AT10=1,M10="F",SUMIF(C2:C23,C10,AS2:AS23)&lt;=1),SUMIF(C2:C23,C10,AS2:AS23),IF(AND(AT10=1,M10="F",SUMIF(C2:C23,C10,AS2:AS23)&gt;1),1,"")))</f>
        <v>1</v>
      </c>
      <c r="AV10" s="388" t="str">
        <f>IF(AT10=0,"",IF(AND(AT10=3,M10="F",SUMIF(C2:C23,C10,AS2:AS23)&lt;=1),SUMIF(C2:C23,C10,AS2:AS23),IF(AND(AT10=3,M10="F",SUMIF(C2:C23,C10,AS2:AS23)&gt;1),1,"")))</f>
        <v/>
      </c>
      <c r="AW10" s="388">
        <f>SUMIF(C2:C23,C10,O2:O23)</f>
        <v>1</v>
      </c>
      <c r="AX10" s="388">
        <f>IF(AND(M10="F",AS10&lt;&gt;0),SUMIF(C2:C23,C10,W2:W23),0)</f>
        <v>78124.800000000003</v>
      </c>
      <c r="AY10" s="388">
        <f t="shared" si="29"/>
        <v>78124.800000000003</v>
      </c>
      <c r="AZ10" s="388" t="str">
        <f t="shared" si="30"/>
        <v/>
      </c>
      <c r="BA10" s="388">
        <f t="shared" si="31"/>
        <v>0</v>
      </c>
      <c r="BB10" s="388">
        <f t="shared" si="0"/>
        <v>12500</v>
      </c>
      <c r="BC10" s="388">
        <f t="shared" si="1"/>
        <v>0</v>
      </c>
      <c r="BD10" s="388">
        <f t="shared" si="2"/>
        <v>4843.7376000000004</v>
      </c>
      <c r="BE10" s="388">
        <f t="shared" si="3"/>
        <v>1132.8096</v>
      </c>
      <c r="BF10" s="388">
        <f t="shared" si="4"/>
        <v>9328.1011200000012</v>
      </c>
      <c r="BG10" s="388">
        <f t="shared" si="5"/>
        <v>563.279808</v>
      </c>
      <c r="BH10" s="388">
        <f t="shared" si="6"/>
        <v>0</v>
      </c>
      <c r="BI10" s="388">
        <f t="shared" si="7"/>
        <v>0</v>
      </c>
      <c r="BJ10" s="388">
        <f t="shared" si="8"/>
        <v>257.81184000000002</v>
      </c>
      <c r="BK10" s="388">
        <f t="shared" si="9"/>
        <v>0</v>
      </c>
      <c r="BL10" s="388">
        <f t="shared" si="32"/>
        <v>16125.739968000002</v>
      </c>
      <c r="BM10" s="388">
        <f t="shared" si="33"/>
        <v>0</v>
      </c>
      <c r="BN10" s="388">
        <f t="shared" si="10"/>
        <v>13750</v>
      </c>
      <c r="BO10" s="388">
        <f t="shared" si="11"/>
        <v>0</v>
      </c>
      <c r="BP10" s="388">
        <f t="shared" si="12"/>
        <v>4843.7376000000004</v>
      </c>
      <c r="BQ10" s="388">
        <f t="shared" si="13"/>
        <v>1132.8096</v>
      </c>
      <c r="BR10" s="388">
        <f t="shared" si="14"/>
        <v>8734.3526399999992</v>
      </c>
      <c r="BS10" s="388">
        <f t="shared" si="15"/>
        <v>563.279808</v>
      </c>
      <c r="BT10" s="388">
        <f t="shared" si="16"/>
        <v>0</v>
      </c>
      <c r="BU10" s="388">
        <f t="shared" si="17"/>
        <v>0</v>
      </c>
      <c r="BV10" s="388">
        <f t="shared" si="18"/>
        <v>171.87456000000003</v>
      </c>
      <c r="BW10" s="388">
        <f t="shared" si="19"/>
        <v>0</v>
      </c>
      <c r="BX10" s="388">
        <f t="shared" si="34"/>
        <v>15446.054208</v>
      </c>
      <c r="BY10" s="388">
        <f t="shared" si="35"/>
        <v>0</v>
      </c>
      <c r="BZ10" s="388">
        <f t="shared" si="36"/>
        <v>1250</v>
      </c>
      <c r="CA10" s="388">
        <f t="shared" si="37"/>
        <v>0</v>
      </c>
      <c r="CB10" s="388">
        <f t="shared" si="38"/>
        <v>0</v>
      </c>
      <c r="CC10" s="388">
        <f t="shared" si="20"/>
        <v>0</v>
      </c>
      <c r="CD10" s="388">
        <f t="shared" si="21"/>
        <v>-593.74848000000077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-85.937279999999987</v>
      </c>
      <c r="CI10" s="388">
        <f t="shared" si="26"/>
        <v>0</v>
      </c>
      <c r="CJ10" s="388">
        <f t="shared" si="39"/>
        <v>-679.68576000000076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0001-00</v>
      </c>
    </row>
    <row r="11" spans="1:92" ht="15.75" thickBot="1" x14ac:dyDescent="0.3">
      <c r="A11" s="377" t="s">
        <v>162</v>
      </c>
      <c r="B11" s="377" t="s">
        <v>163</v>
      </c>
      <c r="C11" s="377" t="s">
        <v>241</v>
      </c>
      <c r="D11" s="377" t="s">
        <v>242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243</v>
      </c>
      <c r="L11" s="377" t="s">
        <v>167</v>
      </c>
      <c r="M11" s="377" t="s">
        <v>244</v>
      </c>
      <c r="N11" s="377" t="s">
        <v>245</v>
      </c>
      <c r="O11" s="380">
        <v>0</v>
      </c>
      <c r="P11" s="386">
        <v>1</v>
      </c>
      <c r="Q11" s="386">
        <v>0</v>
      </c>
      <c r="R11" s="381">
        <v>0</v>
      </c>
      <c r="S11" s="386">
        <v>0</v>
      </c>
      <c r="T11" s="381">
        <v>5005</v>
      </c>
      <c r="U11" s="381">
        <v>0</v>
      </c>
      <c r="V11" s="381">
        <v>583.80999999999995</v>
      </c>
      <c r="W11" s="381">
        <v>5005</v>
      </c>
      <c r="X11" s="381">
        <v>583.80999999999995</v>
      </c>
      <c r="Y11" s="381">
        <v>5005</v>
      </c>
      <c r="Z11" s="381">
        <v>583.80999999999995</v>
      </c>
      <c r="AA11" s="379"/>
      <c r="AB11" s="377" t="s">
        <v>45</v>
      </c>
      <c r="AC11" s="377" t="s">
        <v>45</v>
      </c>
      <c r="AD11" s="379"/>
      <c r="AE11" s="379"/>
      <c r="AF11" s="379"/>
      <c r="AG11" s="379"/>
      <c r="AH11" s="380">
        <v>0</v>
      </c>
      <c r="AI11" s="380">
        <v>0</v>
      </c>
      <c r="AJ11" s="379"/>
      <c r="AK11" s="379"/>
      <c r="AL11" s="377" t="s">
        <v>182</v>
      </c>
      <c r="AM11" s="379"/>
      <c r="AN11" s="379"/>
      <c r="AO11" s="380">
        <v>0</v>
      </c>
      <c r="AP11" s="386">
        <v>0</v>
      </c>
      <c r="AQ11" s="386">
        <v>0</v>
      </c>
      <c r="AR11" s="385"/>
      <c r="AS11" s="388">
        <f t="shared" si="27"/>
        <v>0</v>
      </c>
      <c r="AT11">
        <f t="shared" si="28"/>
        <v>0</v>
      </c>
      <c r="AU11" s="388" t="str">
        <f>IF(AT11=0,"",IF(AND(AT11=1,M11="F",SUMIF(C2:C23,C11,AS2:AS23)&lt;=1),SUMIF(C2:C23,C11,AS2:AS23),IF(AND(AT11=1,M11="F",SUMIF(C2:C23,C11,AS2:AS23)&gt;1),1,"")))</f>
        <v/>
      </c>
      <c r="AV11" s="388" t="str">
        <f>IF(AT11=0,"",IF(AND(AT11=3,M11="F",SUMIF(C2:C23,C11,AS2:AS23)&lt;=1),SUMIF(C2:C23,C11,AS2:AS23),IF(AND(AT11=3,M11="F",SUMIF(C2:C23,C11,AS2:AS23)&gt;1),1,"")))</f>
        <v/>
      </c>
      <c r="AW11" s="388">
        <f>SUMIF(C2:C23,C11,O2:O23)</f>
        <v>0</v>
      </c>
      <c r="AX11" s="388">
        <f>IF(AND(M11="F",AS11&lt;&gt;0),SUMIF(C2:C23,C11,W2:W23),0)</f>
        <v>0</v>
      </c>
      <c r="AY11" s="388" t="str">
        <f t="shared" si="29"/>
        <v/>
      </c>
      <c r="AZ11" s="388" t="str">
        <f t="shared" si="30"/>
        <v/>
      </c>
      <c r="BA11" s="388">
        <f t="shared" si="31"/>
        <v>0</v>
      </c>
      <c r="BB11" s="388">
        <f t="shared" si="0"/>
        <v>0</v>
      </c>
      <c r="BC11" s="388">
        <f t="shared" si="1"/>
        <v>0</v>
      </c>
      <c r="BD11" s="388">
        <f t="shared" si="2"/>
        <v>0</v>
      </c>
      <c r="BE11" s="388">
        <f t="shared" si="3"/>
        <v>0</v>
      </c>
      <c r="BF11" s="388">
        <f t="shared" si="4"/>
        <v>0</v>
      </c>
      <c r="BG11" s="388">
        <f t="shared" si="5"/>
        <v>0</v>
      </c>
      <c r="BH11" s="388">
        <f t="shared" si="6"/>
        <v>0</v>
      </c>
      <c r="BI11" s="388">
        <f t="shared" si="7"/>
        <v>0</v>
      </c>
      <c r="BJ11" s="388">
        <f t="shared" si="8"/>
        <v>0</v>
      </c>
      <c r="BK11" s="388">
        <f t="shared" si="9"/>
        <v>0</v>
      </c>
      <c r="BL11" s="388">
        <f t="shared" si="32"/>
        <v>0</v>
      </c>
      <c r="BM11" s="388">
        <f t="shared" si="33"/>
        <v>0</v>
      </c>
      <c r="BN11" s="388">
        <f t="shared" si="10"/>
        <v>0</v>
      </c>
      <c r="BO11" s="388">
        <f t="shared" si="11"/>
        <v>0</v>
      </c>
      <c r="BP11" s="388">
        <f t="shared" si="12"/>
        <v>0</v>
      </c>
      <c r="BQ11" s="388">
        <f t="shared" si="13"/>
        <v>0</v>
      </c>
      <c r="BR11" s="388">
        <f t="shared" si="14"/>
        <v>0</v>
      </c>
      <c r="BS11" s="388">
        <f t="shared" si="15"/>
        <v>0</v>
      </c>
      <c r="BT11" s="388">
        <f t="shared" si="16"/>
        <v>0</v>
      </c>
      <c r="BU11" s="388">
        <f t="shared" si="17"/>
        <v>0</v>
      </c>
      <c r="BV11" s="388">
        <f t="shared" si="18"/>
        <v>0</v>
      </c>
      <c r="BW11" s="388">
        <f t="shared" si="19"/>
        <v>0</v>
      </c>
      <c r="BX11" s="388">
        <f t="shared" si="34"/>
        <v>0</v>
      </c>
      <c r="BY11" s="388">
        <f t="shared" si="35"/>
        <v>0</v>
      </c>
      <c r="BZ11" s="388">
        <f t="shared" si="36"/>
        <v>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0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0</v>
      </c>
      <c r="CI11" s="388">
        <f t="shared" si="26"/>
        <v>0</v>
      </c>
      <c r="CJ11" s="388">
        <f t="shared" si="39"/>
        <v>0</v>
      </c>
      <c r="CK11" s="388" t="str">
        <f t="shared" si="40"/>
        <v/>
      </c>
      <c r="CL11" s="388">
        <f t="shared" si="41"/>
        <v>5005</v>
      </c>
      <c r="CM11" s="388">
        <f t="shared" si="42"/>
        <v>583.80999999999995</v>
      </c>
      <c r="CN11" s="388" t="str">
        <f t="shared" si="43"/>
        <v>0001-00</v>
      </c>
    </row>
    <row r="12" spans="1:92" ht="15.75" thickBot="1" x14ac:dyDescent="0.3">
      <c r="A12" s="377" t="s">
        <v>162</v>
      </c>
      <c r="B12" s="377" t="s">
        <v>163</v>
      </c>
      <c r="C12" s="377" t="s">
        <v>246</v>
      </c>
      <c r="D12" s="377" t="s">
        <v>233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247</v>
      </c>
      <c r="K12" s="377" t="s">
        <v>248</v>
      </c>
      <c r="L12" s="377" t="s">
        <v>249</v>
      </c>
      <c r="M12" s="377" t="s">
        <v>172</v>
      </c>
      <c r="N12" s="377" t="s">
        <v>173</v>
      </c>
      <c r="O12" s="380">
        <v>1</v>
      </c>
      <c r="P12" s="386">
        <v>0.7</v>
      </c>
      <c r="Q12" s="386">
        <v>0.7</v>
      </c>
      <c r="R12" s="381">
        <v>80</v>
      </c>
      <c r="S12" s="386">
        <v>0.7</v>
      </c>
      <c r="T12" s="381">
        <v>34100.639999999999</v>
      </c>
      <c r="U12" s="381">
        <v>0</v>
      </c>
      <c r="V12" s="381">
        <v>15009.94</v>
      </c>
      <c r="W12" s="381">
        <v>36734.879999999997</v>
      </c>
      <c r="X12" s="381">
        <v>16332.42</v>
      </c>
      <c r="Y12" s="381">
        <v>36734.879999999997</v>
      </c>
      <c r="Z12" s="381">
        <v>16887.830000000002</v>
      </c>
      <c r="AA12" s="377" t="s">
        <v>250</v>
      </c>
      <c r="AB12" s="377" t="s">
        <v>251</v>
      </c>
      <c r="AC12" s="377" t="s">
        <v>252</v>
      </c>
      <c r="AD12" s="377" t="s">
        <v>253</v>
      </c>
      <c r="AE12" s="377" t="s">
        <v>248</v>
      </c>
      <c r="AF12" s="377" t="s">
        <v>254</v>
      </c>
      <c r="AG12" s="377" t="s">
        <v>179</v>
      </c>
      <c r="AH12" s="382">
        <v>25.23</v>
      </c>
      <c r="AI12" s="382">
        <v>31997.200000000001</v>
      </c>
      <c r="AJ12" s="377" t="s">
        <v>180</v>
      </c>
      <c r="AK12" s="377" t="s">
        <v>181</v>
      </c>
      <c r="AL12" s="377" t="s">
        <v>182</v>
      </c>
      <c r="AM12" s="377" t="s">
        <v>183</v>
      </c>
      <c r="AN12" s="377" t="s">
        <v>66</v>
      </c>
      <c r="AO12" s="380">
        <v>80</v>
      </c>
      <c r="AP12" s="386">
        <v>1</v>
      </c>
      <c r="AQ12" s="386">
        <v>0.7</v>
      </c>
      <c r="AR12" s="384" t="s">
        <v>184</v>
      </c>
      <c r="AS12" s="388">
        <f t="shared" si="27"/>
        <v>0.7</v>
      </c>
      <c r="AT12">
        <f t="shared" si="28"/>
        <v>1</v>
      </c>
      <c r="AU12" s="388">
        <f>IF(AT12=0,"",IF(AND(AT12=1,M12="F",SUMIF(C2:C23,C12,AS2:AS23)&lt;=1),SUMIF(C2:C23,C12,AS2:AS23),IF(AND(AT12=1,M12="F",SUMIF(C2:C23,C12,AS2:AS23)&gt;1),1,"")))</f>
        <v>1</v>
      </c>
      <c r="AV12" s="388" t="str">
        <f>IF(AT12=0,"",IF(AND(AT12=3,M12="F",SUMIF(C2:C23,C12,AS2:AS23)&lt;=1),SUMIF(C2:C23,C12,AS2:AS23),IF(AND(AT12=3,M12="F",SUMIF(C2:C23,C12,AS2:AS23)&gt;1),1,"")))</f>
        <v/>
      </c>
      <c r="AW12" s="388">
        <f>SUMIF(C2:C23,C12,O2:O23)</f>
        <v>2</v>
      </c>
      <c r="AX12" s="388">
        <f>IF(AND(M12="F",AS12&lt;&gt;0),SUMIF(C2:C23,C12,W2:W23),0)</f>
        <v>52478.399999999994</v>
      </c>
      <c r="AY12" s="388">
        <f t="shared" si="29"/>
        <v>36734.879999999997</v>
      </c>
      <c r="AZ12" s="388" t="str">
        <f t="shared" si="30"/>
        <v/>
      </c>
      <c r="BA12" s="388">
        <f t="shared" si="31"/>
        <v>0</v>
      </c>
      <c r="BB12" s="388">
        <f t="shared" si="0"/>
        <v>8750</v>
      </c>
      <c r="BC12" s="388">
        <f t="shared" si="1"/>
        <v>0</v>
      </c>
      <c r="BD12" s="388">
        <f t="shared" si="2"/>
        <v>2277.5625599999998</v>
      </c>
      <c r="BE12" s="388">
        <f t="shared" si="3"/>
        <v>532.65575999999999</v>
      </c>
      <c r="BF12" s="388">
        <f t="shared" si="4"/>
        <v>4386.1446720000004</v>
      </c>
      <c r="BG12" s="388">
        <f t="shared" si="5"/>
        <v>264.85848479999999</v>
      </c>
      <c r="BH12" s="388">
        <f t="shared" si="6"/>
        <v>0</v>
      </c>
      <c r="BI12" s="388">
        <f t="shared" si="7"/>
        <v>0</v>
      </c>
      <c r="BJ12" s="388">
        <f t="shared" si="8"/>
        <v>121.22510399999999</v>
      </c>
      <c r="BK12" s="388">
        <f t="shared" si="9"/>
        <v>0</v>
      </c>
      <c r="BL12" s="388">
        <f t="shared" si="32"/>
        <v>7582.4465808000004</v>
      </c>
      <c r="BM12" s="388">
        <f t="shared" si="33"/>
        <v>0</v>
      </c>
      <c r="BN12" s="388">
        <f t="shared" si="10"/>
        <v>9625</v>
      </c>
      <c r="BO12" s="388">
        <f t="shared" si="11"/>
        <v>0</v>
      </c>
      <c r="BP12" s="388">
        <f t="shared" si="12"/>
        <v>2277.5625599999998</v>
      </c>
      <c r="BQ12" s="388">
        <f t="shared" si="13"/>
        <v>532.65575999999999</v>
      </c>
      <c r="BR12" s="388">
        <f t="shared" si="14"/>
        <v>4106.9595839999993</v>
      </c>
      <c r="BS12" s="388">
        <f t="shared" si="15"/>
        <v>264.85848479999999</v>
      </c>
      <c r="BT12" s="388">
        <f t="shared" si="16"/>
        <v>0</v>
      </c>
      <c r="BU12" s="388">
        <f t="shared" si="17"/>
        <v>0</v>
      </c>
      <c r="BV12" s="388">
        <f t="shared" si="18"/>
        <v>80.816736000000006</v>
      </c>
      <c r="BW12" s="388">
        <f t="shared" si="19"/>
        <v>0</v>
      </c>
      <c r="BX12" s="388">
        <f t="shared" si="34"/>
        <v>7262.853124799999</v>
      </c>
      <c r="BY12" s="388">
        <f t="shared" si="35"/>
        <v>0</v>
      </c>
      <c r="BZ12" s="388">
        <f t="shared" si="36"/>
        <v>875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-279.18508800000035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-40.408367999999989</v>
      </c>
      <c r="CI12" s="388">
        <f t="shared" si="26"/>
        <v>0</v>
      </c>
      <c r="CJ12" s="388">
        <f t="shared" si="39"/>
        <v>-319.59345600000034</v>
      </c>
      <c r="CK12" s="388" t="str">
        <f t="shared" si="40"/>
        <v/>
      </c>
      <c r="CL12" s="388" t="str">
        <f t="shared" si="41"/>
        <v/>
      </c>
      <c r="CM12" s="388" t="str">
        <f t="shared" si="42"/>
        <v/>
      </c>
      <c r="CN12" s="388" t="str">
        <f t="shared" si="43"/>
        <v>0001-00</v>
      </c>
    </row>
    <row r="13" spans="1:92" ht="15.75" thickBot="1" x14ac:dyDescent="0.3">
      <c r="A13" s="377" t="s">
        <v>162</v>
      </c>
      <c r="B13" s="377" t="s">
        <v>163</v>
      </c>
      <c r="C13" s="377" t="s">
        <v>255</v>
      </c>
      <c r="D13" s="377" t="s">
        <v>256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257</v>
      </c>
      <c r="L13" s="377" t="s">
        <v>258</v>
      </c>
      <c r="M13" s="377" t="s">
        <v>244</v>
      </c>
      <c r="N13" s="377" t="s">
        <v>245</v>
      </c>
      <c r="O13" s="380">
        <v>0</v>
      </c>
      <c r="P13" s="386">
        <v>1</v>
      </c>
      <c r="Q13" s="386">
        <v>0</v>
      </c>
      <c r="R13" s="381">
        <v>0</v>
      </c>
      <c r="S13" s="386">
        <v>0</v>
      </c>
      <c r="T13" s="381">
        <v>0</v>
      </c>
      <c r="U13" s="381">
        <v>0</v>
      </c>
      <c r="V13" s="381">
        <v>0</v>
      </c>
      <c r="W13" s="381">
        <v>0</v>
      </c>
      <c r="X13" s="381">
        <v>0</v>
      </c>
      <c r="Y13" s="381">
        <v>0</v>
      </c>
      <c r="Z13" s="381">
        <v>0</v>
      </c>
      <c r="AA13" s="379"/>
      <c r="AB13" s="377" t="s">
        <v>45</v>
      </c>
      <c r="AC13" s="377" t="s">
        <v>45</v>
      </c>
      <c r="AD13" s="379"/>
      <c r="AE13" s="379"/>
      <c r="AF13" s="379"/>
      <c r="AG13" s="379"/>
      <c r="AH13" s="380">
        <v>0</v>
      </c>
      <c r="AI13" s="380">
        <v>0</v>
      </c>
      <c r="AJ13" s="379"/>
      <c r="AK13" s="379"/>
      <c r="AL13" s="377" t="s">
        <v>182</v>
      </c>
      <c r="AM13" s="379"/>
      <c r="AN13" s="379"/>
      <c r="AO13" s="380">
        <v>0</v>
      </c>
      <c r="AP13" s="386">
        <v>0</v>
      </c>
      <c r="AQ13" s="386">
        <v>0</v>
      </c>
      <c r="AR13" s="385"/>
      <c r="AS13" s="388">
        <f t="shared" si="27"/>
        <v>0</v>
      </c>
      <c r="AT13">
        <f t="shared" si="28"/>
        <v>0</v>
      </c>
      <c r="AU13" s="388" t="str">
        <f>IF(AT13=0,"",IF(AND(AT13=1,M13="F",SUMIF(C2:C23,C13,AS2:AS23)&lt;=1),SUMIF(C2:C23,C13,AS2:AS23),IF(AND(AT13=1,M13="F",SUMIF(C2:C23,C13,AS2:AS23)&gt;1),1,"")))</f>
        <v/>
      </c>
      <c r="AV13" s="388" t="str">
        <f>IF(AT13=0,"",IF(AND(AT13=3,M13="F",SUMIF(C2:C23,C13,AS2:AS23)&lt;=1),SUMIF(C2:C23,C13,AS2:AS23),IF(AND(AT13=3,M13="F",SUMIF(C2:C23,C13,AS2:AS23)&gt;1),1,"")))</f>
        <v/>
      </c>
      <c r="AW13" s="388">
        <f>SUMIF(C2:C23,C13,O2:O23)</f>
        <v>0</v>
      </c>
      <c r="AX13" s="388">
        <f>IF(AND(M13="F",AS13&lt;&gt;0),SUMIF(C2:C23,C13,W2:W23),0)</f>
        <v>0</v>
      </c>
      <c r="AY13" s="388" t="str">
        <f t="shared" si="29"/>
        <v/>
      </c>
      <c r="AZ13" s="388" t="str">
        <f t="shared" si="30"/>
        <v/>
      </c>
      <c r="BA13" s="388">
        <f t="shared" si="31"/>
        <v>0</v>
      </c>
      <c r="BB13" s="388">
        <f t="shared" si="0"/>
        <v>0</v>
      </c>
      <c r="BC13" s="388">
        <f t="shared" si="1"/>
        <v>0</v>
      </c>
      <c r="BD13" s="388">
        <f t="shared" si="2"/>
        <v>0</v>
      </c>
      <c r="BE13" s="388">
        <f t="shared" si="3"/>
        <v>0</v>
      </c>
      <c r="BF13" s="388">
        <f t="shared" si="4"/>
        <v>0</v>
      </c>
      <c r="BG13" s="388">
        <f t="shared" si="5"/>
        <v>0</v>
      </c>
      <c r="BH13" s="388">
        <f t="shared" si="6"/>
        <v>0</v>
      </c>
      <c r="BI13" s="388">
        <f t="shared" si="7"/>
        <v>0</v>
      </c>
      <c r="BJ13" s="388">
        <f t="shared" si="8"/>
        <v>0</v>
      </c>
      <c r="BK13" s="388">
        <f t="shared" si="9"/>
        <v>0</v>
      </c>
      <c r="BL13" s="388">
        <f t="shared" si="32"/>
        <v>0</v>
      </c>
      <c r="BM13" s="388">
        <f t="shared" si="33"/>
        <v>0</v>
      </c>
      <c r="BN13" s="388">
        <f t="shared" si="10"/>
        <v>0</v>
      </c>
      <c r="BO13" s="388">
        <f t="shared" si="11"/>
        <v>0</v>
      </c>
      <c r="BP13" s="388">
        <f t="shared" si="12"/>
        <v>0</v>
      </c>
      <c r="BQ13" s="388">
        <f t="shared" si="13"/>
        <v>0</v>
      </c>
      <c r="BR13" s="388">
        <f t="shared" si="14"/>
        <v>0</v>
      </c>
      <c r="BS13" s="388">
        <f t="shared" si="15"/>
        <v>0</v>
      </c>
      <c r="BT13" s="388">
        <f t="shared" si="16"/>
        <v>0</v>
      </c>
      <c r="BU13" s="388">
        <f t="shared" si="17"/>
        <v>0</v>
      </c>
      <c r="BV13" s="388">
        <f t="shared" si="18"/>
        <v>0</v>
      </c>
      <c r="BW13" s="388">
        <f t="shared" si="19"/>
        <v>0</v>
      </c>
      <c r="BX13" s="388">
        <f t="shared" si="34"/>
        <v>0</v>
      </c>
      <c r="BY13" s="388">
        <f t="shared" si="35"/>
        <v>0</v>
      </c>
      <c r="BZ13" s="388">
        <f t="shared" si="36"/>
        <v>0</v>
      </c>
      <c r="CA13" s="388">
        <f t="shared" si="37"/>
        <v>0</v>
      </c>
      <c r="CB13" s="388">
        <f t="shared" si="38"/>
        <v>0</v>
      </c>
      <c r="CC13" s="388">
        <f t="shared" si="20"/>
        <v>0</v>
      </c>
      <c r="CD13" s="388">
        <f t="shared" si="21"/>
        <v>0</v>
      </c>
      <c r="CE13" s="388">
        <f t="shared" si="22"/>
        <v>0</v>
      </c>
      <c r="CF13" s="388">
        <f t="shared" si="23"/>
        <v>0</v>
      </c>
      <c r="CG13" s="388">
        <f t="shared" si="24"/>
        <v>0</v>
      </c>
      <c r="CH13" s="388">
        <f t="shared" si="25"/>
        <v>0</v>
      </c>
      <c r="CI13" s="388">
        <f t="shared" si="26"/>
        <v>0</v>
      </c>
      <c r="CJ13" s="388">
        <f t="shared" si="39"/>
        <v>0</v>
      </c>
      <c r="CK13" s="388" t="str">
        <f t="shared" si="40"/>
        <v/>
      </c>
      <c r="CL13" s="388">
        <f t="shared" si="41"/>
        <v>0</v>
      </c>
      <c r="CM13" s="388">
        <f t="shared" si="42"/>
        <v>0</v>
      </c>
      <c r="CN13" s="388" t="str">
        <f t="shared" si="43"/>
        <v>0001-00</v>
      </c>
    </row>
    <row r="14" spans="1:92" ht="15.75" thickBot="1" x14ac:dyDescent="0.3">
      <c r="A14" s="377" t="s">
        <v>162</v>
      </c>
      <c r="B14" s="377" t="s">
        <v>163</v>
      </c>
      <c r="C14" s="377" t="s">
        <v>259</v>
      </c>
      <c r="D14" s="377" t="s">
        <v>260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261</v>
      </c>
      <c r="L14" s="377" t="s">
        <v>167</v>
      </c>
      <c r="M14" s="377" t="s">
        <v>172</v>
      </c>
      <c r="N14" s="377" t="s">
        <v>173</v>
      </c>
      <c r="O14" s="380">
        <v>1</v>
      </c>
      <c r="P14" s="386">
        <v>1</v>
      </c>
      <c r="Q14" s="386">
        <v>1</v>
      </c>
      <c r="R14" s="381">
        <v>80</v>
      </c>
      <c r="S14" s="386">
        <v>1</v>
      </c>
      <c r="T14" s="381">
        <v>155645.6</v>
      </c>
      <c r="U14" s="381">
        <v>0</v>
      </c>
      <c r="V14" s="381">
        <v>43050.43</v>
      </c>
      <c r="W14" s="381">
        <v>163072</v>
      </c>
      <c r="X14" s="381">
        <v>44902.8</v>
      </c>
      <c r="Y14" s="381">
        <v>163072</v>
      </c>
      <c r="Z14" s="381">
        <v>44994.47</v>
      </c>
      <c r="AA14" s="377" t="s">
        <v>262</v>
      </c>
      <c r="AB14" s="377" t="s">
        <v>263</v>
      </c>
      <c r="AC14" s="377" t="s">
        <v>264</v>
      </c>
      <c r="AD14" s="377" t="s">
        <v>265</v>
      </c>
      <c r="AE14" s="377" t="s">
        <v>261</v>
      </c>
      <c r="AF14" s="377" t="s">
        <v>225</v>
      </c>
      <c r="AG14" s="377" t="s">
        <v>179</v>
      </c>
      <c r="AH14" s="382">
        <v>78.400000000000006</v>
      </c>
      <c r="AI14" s="380">
        <v>14320</v>
      </c>
      <c r="AJ14" s="377" t="s">
        <v>180</v>
      </c>
      <c r="AK14" s="377" t="s">
        <v>181</v>
      </c>
      <c r="AL14" s="377" t="s">
        <v>182</v>
      </c>
      <c r="AM14" s="377" t="s">
        <v>182</v>
      </c>
      <c r="AN14" s="377" t="s">
        <v>66</v>
      </c>
      <c r="AO14" s="380">
        <v>80</v>
      </c>
      <c r="AP14" s="386">
        <v>1</v>
      </c>
      <c r="AQ14" s="386">
        <v>1</v>
      </c>
      <c r="AR14" s="384" t="s">
        <v>184</v>
      </c>
      <c r="AS14" s="388">
        <f t="shared" si="27"/>
        <v>1</v>
      </c>
      <c r="AT14">
        <f t="shared" si="28"/>
        <v>1</v>
      </c>
      <c r="AU14" s="388">
        <f>IF(AT14=0,"",IF(AND(AT14=1,M14="F",SUMIF(C2:C23,C14,AS2:AS23)&lt;=1),SUMIF(C2:C23,C14,AS2:AS23),IF(AND(AT14=1,M14="F",SUMIF(C2:C23,C14,AS2:AS23)&gt;1),1,"")))</f>
        <v>1</v>
      </c>
      <c r="AV14" s="388" t="str">
        <f>IF(AT14=0,"",IF(AND(AT14=3,M14="F",SUMIF(C2:C23,C14,AS2:AS23)&lt;=1),SUMIF(C2:C23,C14,AS2:AS23),IF(AND(AT14=3,M14="F",SUMIF(C2:C23,C14,AS2:AS23)&gt;1),1,"")))</f>
        <v/>
      </c>
      <c r="AW14" s="388">
        <f>SUMIF(C2:C23,C14,O2:O23)</f>
        <v>1</v>
      </c>
      <c r="AX14" s="388">
        <f>IF(AND(M14="F",AS14&lt;&gt;0),SUMIF(C2:C23,C14,W2:W23),0)</f>
        <v>163072</v>
      </c>
      <c r="AY14" s="388">
        <f t="shared" si="29"/>
        <v>163072</v>
      </c>
      <c r="AZ14" s="388" t="str">
        <f t="shared" si="30"/>
        <v/>
      </c>
      <c r="BA14" s="388">
        <f t="shared" si="31"/>
        <v>0</v>
      </c>
      <c r="BB14" s="388">
        <f t="shared" si="0"/>
        <v>12500</v>
      </c>
      <c r="BC14" s="388">
        <f t="shared" si="1"/>
        <v>0</v>
      </c>
      <c r="BD14" s="388">
        <f t="shared" si="2"/>
        <v>8853.6</v>
      </c>
      <c r="BE14" s="388">
        <f t="shared" si="3"/>
        <v>2364.5440000000003</v>
      </c>
      <c r="BF14" s="388">
        <f t="shared" si="4"/>
        <v>19470.7968</v>
      </c>
      <c r="BG14" s="388">
        <f t="shared" si="5"/>
        <v>1175.7491199999999</v>
      </c>
      <c r="BH14" s="388">
        <f t="shared" si="6"/>
        <v>0</v>
      </c>
      <c r="BI14" s="388">
        <f t="shared" si="7"/>
        <v>0</v>
      </c>
      <c r="BJ14" s="388">
        <f t="shared" si="8"/>
        <v>538.13760000000002</v>
      </c>
      <c r="BK14" s="388">
        <f t="shared" si="9"/>
        <v>0</v>
      </c>
      <c r="BL14" s="388">
        <f t="shared" si="32"/>
        <v>32402.827519999999</v>
      </c>
      <c r="BM14" s="388">
        <f t="shared" si="33"/>
        <v>0</v>
      </c>
      <c r="BN14" s="388">
        <f t="shared" si="10"/>
        <v>13750</v>
      </c>
      <c r="BO14" s="388">
        <f t="shared" si="11"/>
        <v>0</v>
      </c>
      <c r="BP14" s="388">
        <f t="shared" si="12"/>
        <v>9114</v>
      </c>
      <c r="BQ14" s="388">
        <f t="shared" si="13"/>
        <v>2364.5440000000003</v>
      </c>
      <c r="BR14" s="388">
        <f t="shared" si="14"/>
        <v>18231.4496</v>
      </c>
      <c r="BS14" s="388">
        <f t="shared" si="15"/>
        <v>1175.7491199999999</v>
      </c>
      <c r="BT14" s="388">
        <f t="shared" si="16"/>
        <v>0</v>
      </c>
      <c r="BU14" s="388">
        <f t="shared" si="17"/>
        <v>0</v>
      </c>
      <c r="BV14" s="388">
        <f t="shared" si="18"/>
        <v>358.75839999999999</v>
      </c>
      <c r="BW14" s="388">
        <f t="shared" si="19"/>
        <v>0</v>
      </c>
      <c r="BX14" s="388">
        <f t="shared" si="34"/>
        <v>31244.501120000001</v>
      </c>
      <c r="BY14" s="388">
        <f t="shared" si="35"/>
        <v>0</v>
      </c>
      <c r="BZ14" s="388">
        <f t="shared" si="36"/>
        <v>1250</v>
      </c>
      <c r="CA14" s="388">
        <f t="shared" si="37"/>
        <v>0</v>
      </c>
      <c r="CB14" s="388">
        <f t="shared" si="38"/>
        <v>260.39999999999964</v>
      </c>
      <c r="CC14" s="388">
        <f t="shared" si="20"/>
        <v>0</v>
      </c>
      <c r="CD14" s="388">
        <f t="shared" si="21"/>
        <v>-1239.3472000000015</v>
      </c>
      <c r="CE14" s="388">
        <f t="shared" si="22"/>
        <v>0</v>
      </c>
      <c r="CF14" s="388">
        <f t="shared" si="23"/>
        <v>0</v>
      </c>
      <c r="CG14" s="388">
        <f t="shared" si="24"/>
        <v>0</v>
      </c>
      <c r="CH14" s="388">
        <f t="shared" si="25"/>
        <v>-179.37919999999997</v>
      </c>
      <c r="CI14" s="388">
        <f t="shared" si="26"/>
        <v>0</v>
      </c>
      <c r="CJ14" s="388">
        <f t="shared" si="39"/>
        <v>-1158.3264000000017</v>
      </c>
      <c r="CK14" s="388" t="str">
        <f t="shared" si="40"/>
        <v/>
      </c>
      <c r="CL14" s="388" t="str">
        <f t="shared" si="41"/>
        <v/>
      </c>
      <c r="CM14" s="388" t="str">
        <f t="shared" si="42"/>
        <v/>
      </c>
      <c r="CN14" s="388" t="str">
        <f t="shared" si="43"/>
        <v>0001-00</v>
      </c>
    </row>
    <row r="15" spans="1:92" ht="15.75" thickBot="1" x14ac:dyDescent="0.3">
      <c r="A15" s="377" t="s">
        <v>162</v>
      </c>
      <c r="B15" s="377" t="s">
        <v>163</v>
      </c>
      <c r="C15" s="377" t="s">
        <v>266</v>
      </c>
      <c r="D15" s="377" t="s">
        <v>233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248</v>
      </c>
      <c r="L15" s="377" t="s">
        <v>249</v>
      </c>
      <c r="M15" s="377" t="s">
        <v>172</v>
      </c>
      <c r="N15" s="377" t="s">
        <v>173</v>
      </c>
      <c r="O15" s="380">
        <v>1</v>
      </c>
      <c r="P15" s="386">
        <v>1</v>
      </c>
      <c r="Q15" s="386">
        <v>1</v>
      </c>
      <c r="R15" s="381">
        <v>80</v>
      </c>
      <c r="S15" s="386">
        <v>1</v>
      </c>
      <c r="T15" s="381">
        <v>50335.68</v>
      </c>
      <c r="U15" s="381">
        <v>0</v>
      </c>
      <c r="V15" s="381">
        <v>22083.41</v>
      </c>
      <c r="W15" s="381">
        <v>52249.599999999999</v>
      </c>
      <c r="X15" s="381">
        <v>23284.81</v>
      </c>
      <c r="Y15" s="381">
        <v>52249.599999999999</v>
      </c>
      <c r="Z15" s="381">
        <v>24080.23</v>
      </c>
      <c r="AA15" s="377" t="s">
        <v>267</v>
      </c>
      <c r="AB15" s="377" t="s">
        <v>268</v>
      </c>
      <c r="AC15" s="377" t="s">
        <v>269</v>
      </c>
      <c r="AD15" s="377" t="s">
        <v>258</v>
      </c>
      <c r="AE15" s="377" t="s">
        <v>248</v>
      </c>
      <c r="AF15" s="377" t="s">
        <v>254</v>
      </c>
      <c r="AG15" s="377" t="s">
        <v>179</v>
      </c>
      <c r="AH15" s="382">
        <v>25.12</v>
      </c>
      <c r="AI15" s="382">
        <v>3507.8</v>
      </c>
      <c r="AJ15" s="377" t="s">
        <v>180</v>
      </c>
      <c r="AK15" s="377" t="s">
        <v>181</v>
      </c>
      <c r="AL15" s="377" t="s">
        <v>182</v>
      </c>
      <c r="AM15" s="377" t="s">
        <v>183</v>
      </c>
      <c r="AN15" s="377" t="s">
        <v>66</v>
      </c>
      <c r="AO15" s="380">
        <v>80</v>
      </c>
      <c r="AP15" s="386">
        <v>1</v>
      </c>
      <c r="AQ15" s="386">
        <v>1</v>
      </c>
      <c r="AR15" s="384" t="s">
        <v>184</v>
      </c>
      <c r="AS15" s="388">
        <f t="shared" si="27"/>
        <v>1</v>
      </c>
      <c r="AT15">
        <f t="shared" si="28"/>
        <v>1</v>
      </c>
      <c r="AU15" s="388">
        <f>IF(AT15=0,"",IF(AND(AT15=1,M15="F",SUMIF(C2:C23,C15,AS2:AS23)&lt;=1),SUMIF(C2:C23,C15,AS2:AS23),IF(AND(AT15=1,M15="F",SUMIF(C2:C23,C15,AS2:AS23)&gt;1),1,"")))</f>
        <v>1</v>
      </c>
      <c r="AV15" s="388" t="str">
        <f>IF(AT15=0,"",IF(AND(AT15=3,M15="F",SUMIF(C2:C23,C15,AS2:AS23)&lt;=1),SUMIF(C2:C23,C15,AS2:AS23),IF(AND(AT15=3,M15="F",SUMIF(C2:C23,C15,AS2:AS23)&gt;1),1,"")))</f>
        <v/>
      </c>
      <c r="AW15" s="388">
        <f>SUMIF(C2:C23,C15,O2:O23)</f>
        <v>1</v>
      </c>
      <c r="AX15" s="388">
        <f>IF(AND(M15="F",AS15&lt;&gt;0),SUMIF(C2:C23,C15,W2:W23),0)</f>
        <v>52249.599999999999</v>
      </c>
      <c r="AY15" s="388">
        <f t="shared" si="29"/>
        <v>52249.599999999999</v>
      </c>
      <c r="AZ15" s="388" t="str">
        <f t="shared" si="30"/>
        <v/>
      </c>
      <c r="BA15" s="388">
        <f t="shared" si="31"/>
        <v>0</v>
      </c>
      <c r="BB15" s="388">
        <f t="shared" si="0"/>
        <v>12500</v>
      </c>
      <c r="BC15" s="388">
        <f t="shared" si="1"/>
        <v>0</v>
      </c>
      <c r="BD15" s="388">
        <f t="shared" si="2"/>
        <v>3239.4751999999999</v>
      </c>
      <c r="BE15" s="388">
        <f t="shared" si="3"/>
        <v>757.61919999999998</v>
      </c>
      <c r="BF15" s="388">
        <f t="shared" si="4"/>
        <v>6238.6022400000002</v>
      </c>
      <c r="BG15" s="388">
        <f t="shared" si="5"/>
        <v>376.71961600000003</v>
      </c>
      <c r="BH15" s="388">
        <f t="shared" si="6"/>
        <v>0</v>
      </c>
      <c r="BI15" s="388">
        <f t="shared" si="7"/>
        <v>0</v>
      </c>
      <c r="BJ15" s="388">
        <f t="shared" si="8"/>
        <v>172.42367999999999</v>
      </c>
      <c r="BK15" s="388">
        <f t="shared" si="9"/>
        <v>0</v>
      </c>
      <c r="BL15" s="388">
        <f t="shared" si="32"/>
        <v>10784.839936</v>
      </c>
      <c r="BM15" s="388">
        <f t="shared" si="33"/>
        <v>0</v>
      </c>
      <c r="BN15" s="388">
        <f t="shared" si="10"/>
        <v>13750</v>
      </c>
      <c r="BO15" s="388">
        <f t="shared" si="11"/>
        <v>0</v>
      </c>
      <c r="BP15" s="388">
        <f t="shared" si="12"/>
        <v>3239.4751999999999</v>
      </c>
      <c r="BQ15" s="388">
        <f t="shared" si="13"/>
        <v>757.61919999999998</v>
      </c>
      <c r="BR15" s="388">
        <f t="shared" si="14"/>
        <v>5841.5052799999994</v>
      </c>
      <c r="BS15" s="388">
        <f t="shared" si="15"/>
        <v>376.71961600000003</v>
      </c>
      <c r="BT15" s="388">
        <f t="shared" si="16"/>
        <v>0</v>
      </c>
      <c r="BU15" s="388">
        <f t="shared" si="17"/>
        <v>0</v>
      </c>
      <c r="BV15" s="388">
        <f t="shared" si="18"/>
        <v>114.94912000000001</v>
      </c>
      <c r="BW15" s="388">
        <f t="shared" si="19"/>
        <v>0</v>
      </c>
      <c r="BX15" s="388">
        <f t="shared" si="34"/>
        <v>10330.268415999999</v>
      </c>
      <c r="BY15" s="388">
        <f t="shared" si="35"/>
        <v>0</v>
      </c>
      <c r="BZ15" s="388">
        <f t="shared" si="36"/>
        <v>1250</v>
      </c>
      <c r="CA15" s="388">
        <f t="shared" si="37"/>
        <v>0</v>
      </c>
      <c r="CB15" s="388">
        <f t="shared" si="38"/>
        <v>0</v>
      </c>
      <c r="CC15" s="388">
        <f t="shared" si="20"/>
        <v>0</v>
      </c>
      <c r="CD15" s="388">
        <f t="shared" si="21"/>
        <v>-397.09696000000048</v>
      </c>
      <c r="CE15" s="388">
        <f t="shared" si="22"/>
        <v>0</v>
      </c>
      <c r="CF15" s="388">
        <f t="shared" si="23"/>
        <v>0</v>
      </c>
      <c r="CG15" s="388">
        <f t="shared" si="24"/>
        <v>0</v>
      </c>
      <c r="CH15" s="388">
        <f t="shared" si="25"/>
        <v>-57.47455999999999</v>
      </c>
      <c r="CI15" s="388">
        <f t="shared" si="26"/>
        <v>0</v>
      </c>
      <c r="CJ15" s="388">
        <f t="shared" si="39"/>
        <v>-454.57152000000048</v>
      </c>
      <c r="CK15" s="388" t="str">
        <f t="shared" si="40"/>
        <v/>
      </c>
      <c r="CL15" s="388" t="str">
        <f t="shared" si="41"/>
        <v/>
      </c>
      <c r="CM15" s="388" t="str">
        <f t="shared" si="42"/>
        <v/>
      </c>
      <c r="CN15" s="388" t="str">
        <f t="shared" si="43"/>
        <v>0001-00</v>
      </c>
    </row>
    <row r="16" spans="1:92" ht="15.75" thickBot="1" x14ac:dyDescent="0.3">
      <c r="A16" s="377" t="s">
        <v>162</v>
      </c>
      <c r="B16" s="377" t="s">
        <v>163</v>
      </c>
      <c r="C16" s="377" t="s">
        <v>270</v>
      </c>
      <c r="D16" s="377" t="s">
        <v>186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187</v>
      </c>
      <c r="L16" s="377" t="s">
        <v>182</v>
      </c>
      <c r="M16" s="377" t="s">
        <v>172</v>
      </c>
      <c r="N16" s="377" t="s">
        <v>173</v>
      </c>
      <c r="O16" s="380">
        <v>1</v>
      </c>
      <c r="P16" s="386">
        <v>1</v>
      </c>
      <c r="Q16" s="386">
        <v>1</v>
      </c>
      <c r="R16" s="381">
        <v>80</v>
      </c>
      <c r="S16" s="386">
        <v>1</v>
      </c>
      <c r="T16" s="381">
        <v>65904</v>
      </c>
      <c r="U16" s="381">
        <v>0</v>
      </c>
      <c r="V16" s="381">
        <v>23393.94</v>
      </c>
      <c r="W16" s="381">
        <v>68390.399999999994</v>
      </c>
      <c r="X16" s="381">
        <v>26616.44</v>
      </c>
      <c r="Y16" s="381">
        <v>68390.399999999994</v>
      </c>
      <c r="Z16" s="381">
        <v>27271.439999999999</v>
      </c>
      <c r="AA16" s="377" t="s">
        <v>271</v>
      </c>
      <c r="AB16" s="377" t="s">
        <v>272</v>
      </c>
      <c r="AC16" s="377" t="s">
        <v>273</v>
      </c>
      <c r="AD16" s="377" t="s">
        <v>274</v>
      </c>
      <c r="AE16" s="377" t="s">
        <v>187</v>
      </c>
      <c r="AF16" s="377" t="s">
        <v>192</v>
      </c>
      <c r="AG16" s="377" t="s">
        <v>179</v>
      </c>
      <c r="AH16" s="382">
        <v>32.880000000000003</v>
      </c>
      <c r="AI16" s="382">
        <v>12233.9</v>
      </c>
      <c r="AJ16" s="377" t="s">
        <v>180</v>
      </c>
      <c r="AK16" s="377" t="s">
        <v>181</v>
      </c>
      <c r="AL16" s="377" t="s">
        <v>182</v>
      </c>
      <c r="AM16" s="377" t="s">
        <v>183</v>
      </c>
      <c r="AN16" s="377" t="s">
        <v>66</v>
      </c>
      <c r="AO16" s="380">
        <v>80</v>
      </c>
      <c r="AP16" s="386">
        <v>1</v>
      </c>
      <c r="AQ16" s="386">
        <v>1</v>
      </c>
      <c r="AR16" s="384" t="s">
        <v>184</v>
      </c>
      <c r="AS16" s="388">
        <f t="shared" si="27"/>
        <v>1</v>
      </c>
      <c r="AT16">
        <f t="shared" si="28"/>
        <v>1</v>
      </c>
      <c r="AU16" s="388">
        <f>IF(AT16=0,"",IF(AND(AT16=1,M16="F",SUMIF(C2:C23,C16,AS2:AS23)&lt;=1),SUMIF(C2:C23,C16,AS2:AS23),IF(AND(AT16=1,M16="F",SUMIF(C2:C23,C16,AS2:AS23)&gt;1),1,"")))</f>
        <v>1</v>
      </c>
      <c r="AV16" s="388" t="str">
        <f>IF(AT16=0,"",IF(AND(AT16=3,M16="F",SUMIF(C2:C23,C16,AS2:AS23)&lt;=1),SUMIF(C2:C23,C16,AS2:AS23),IF(AND(AT16=3,M16="F",SUMIF(C2:C23,C16,AS2:AS23)&gt;1),1,"")))</f>
        <v/>
      </c>
      <c r="AW16" s="388">
        <f>SUMIF(C2:C23,C16,O2:O23)</f>
        <v>1</v>
      </c>
      <c r="AX16" s="388">
        <f>IF(AND(M16="F",AS16&lt;&gt;0),SUMIF(C2:C23,C16,W2:W23),0)</f>
        <v>68390.399999999994</v>
      </c>
      <c r="AY16" s="388">
        <f t="shared" si="29"/>
        <v>68390.399999999994</v>
      </c>
      <c r="AZ16" s="388" t="str">
        <f t="shared" si="30"/>
        <v/>
      </c>
      <c r="BA16" s="388">
        <f t="shared" si="31"/>
        <v>0</v>
      </c>
      <c r="BB16" s="388">
        <f t="shared" si="0"/>
        <v>12500</v>
      </c>
      <c r="BC16" s="388">
        <f t="shared" si="1"/>
        <v>0</v>
      </c>
      <c r="BD16" s="388">
        <f t="shared" si="2"/>
        <v>4240.2047999999995</v>
      </c>
      <c r="BE16" s="388">
        <f t="shared" si="3"/>
        <v>991.66079999999999</v>
      </c>
      <c r="BF16" s="388">
        <f t="shared" si="4"/>
        <v>8165.81376</v>
      </c>
      <c r="BG16" s="388">
        <f t="shared" si="5"/>
        <v>493.094784</v>
      </c>
      <c r="BH16" s="388">
        <f t="shared" si="6"/>
        <v>0</v>
      </c>
      <c r="BI16" s="388">
        <f t="shared" si="7"/>
        <v>0</v>
      </c>
      <c r="BJ16" s="388">
        <f t="shared" si="8"/>
        <v>225.68831999999998</v>
      </c>
      <c r="BK16" s="388">
        <f t="shared" si="9"/>
        <v>0</v>
      </c>
      <c r="BL16" s="388">
        <f t="shared" si="32"/>
        <v>14116.462463999998</v>
      </c>
      <c r="BM16" s="388">
        <f t="shared" si="33"/>
        <v>0</v>
      </c>
      <c r="BN16" s="388">
        <f t="shared" si="10"/>
        <v>13750</v>
      </c>
      <c r="BO16" s="388">
        <f t="shared" si="11"/>
        <v>0</v>
      </c>
      <c r="BP16" s="388">
        <f t="shared" si="12"/>
        <v>4240.2047999999995</v>
      </c>
      <c r="BQ16" s="388">
        <f t="shared" si="13"/>
        <v>991.66079999999999</v>
      </c>
      <c r="BR16" s="388">
        <f t="shared" si="14"/>
        <v>7646.0467199999994</v>
      </c>
      <c r="BS16" s="388">
        <f t="shared" si="15"/>
        <v>493.094784</v>
      </c>
      <c r="BT16" s="388">
        <f t="shared" si="16"/>
        <v>0</v>
      </c>
      <c r="BU16" s="388">
        <f t="shared" si="17"/>
        <v>0</v>
      </c>
      <c r="BV16" s="388">
        <f t="shared" si="18"/>
        <v>150.45887999999999</v>
      </c>
      <c r="BW16" s="388">
        <f t="shared" si="19"/>
        <v>0</v>
      </c>
      <c r="BX16" s="388">
        <f t="shared" si="34"/>
        <v>13521.465984</v>
      </c>
      <c r="BY16" s="388">
        <f t="shared" si="35"/>
        <v>0</v>
      </c>
      <c r="BZ16" s="388">
        <f t="shared" si="36"/>
        <v>1250</v>
      </c>
      <c r="CA16" s="388">
        <f t="shared" si="37"/>
        <v>0</v>
      </c>
      <c r="CB16" s="388">
        <f t="shared" si="38"/>
        <v>0</v>
      </c>
      <c r="CC16" s="388">
        <f t="shared" si="20"/>
        <v>0</v>
      </c>
      <c r="CD16" s="388">
        <f t="shared" si="21"/>
        <v>-519.76704000000063</v>
      </c>
      <c r="CE16" s="388">
        <f t="shared" si="22"/>
        <v>0</v>
      </c>
      <c r="CF16" s="388">
        <f t="shared" si="23"/>
        <v>0</v>
      </c>
      <c r="CG16" s="388">
        <f t="shared" si="24"/>
        <v>0</v>
      </c>
      <c r="CH16" s="388">
        <f t="shared" si="25"/>
        <v>-75.229439999999983</v>
      </c>
      <c r="CI16" s="388">
        <f t="shared" si="26"/>
        <v>0</v>
      </c>
      <c r="CJ16" s="388">
        <f t="shared" si="39"/>
        <v>-594.99648000000059</v>
      </c>
      <c r="CK16" s="388" t="str">
        <f t="shared" si="40"/>
        <v/>
      </c>
      <c r="CL16" s="388" t="str">
        <f t="shared" si="41"/>
        <v/>
      </c>
      <c r="CM16" s="388" t="str">
        <f t="shared" si="42"/>
        <v/>
      </c>
      <c r="CN16" s="388" t="str">
        <f t="shared" si="43"/>
        <v>0001-00</v>
      </c>
    </row>
    <row r="17" spans="1:92" ht="15.75" thickBot="1" x14ac:dyDescent="0.3">
      <c r="A17" s="377" t="s">
        <v>162</v>
      </c>
      <c r="B17" s="377" t="s">
        <v>163</v>
      </c>
      <c r="C17" s="377" t="s">
        <v>275</v>
      </c>
      <c r="D17" s="377" t="s">
        <v>186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187</v>
      </c>
      <c r="L17" s="377" t="s">
        <v>182</v>
      </c>
      <c r="M17" s="377" t="s">
        <v>172</v>
      </c>
      <c r="N17" s="377" t="s">
        <v>173</v>
      </c>
      <c r="O17" s="380">
        <v>1</v>
      </c>
      <c r="P17" s="386">
        <v>1</v>
      </c>
      <c r="Q17" s="386">
        <v>1</v>
      </c>
      <c r="R17" s="381">
        <v>80</v>
      </c>
      <c r="S17" s="386">
        <v>1</v>
      </c>
      <c r="T17" s="381">
        <v>76062.77</v>
      </c>
      <c r="U17" s="381">
        <v>0</v>
      </c>
      <c r="V17" s="381">
        <v>28323.99</v>
      </c>
      <c r="W17" s="381">
        <v>83200</v>
      </c>
      <c r="X17" s="381">
        <v>29673.31</v>
      </c>
      <c r="Y17" s="381">
        <v>83200</v>
      </c>
      <c r="Z17" s="381">
        <v>30199.47</v>
      </c>
      <c r="AA17" s="377" t="s">
        <v>276</v>
      </c>
      <c r="AB17" s="377" t="s">
        <v>277</v>
      </c>
      <c r="AC17" s="377" t="s">
        <v>278</v>
      </c>
      <c r="AD17" s="377" t="s">
        <v>279</v>
      </c>
      <c r="AE17" s="377" t="s">
        <v>187</v>
      </c>
      <c r="AF17" s="377" t="s">
        <v>192</v>
      </c>
      <c r="AG17" s="377" t="s">
        <v>179</v>
      </c>
      <c r="AH17" s="380">
        <v>40</v>
      </c>
      <c r="AI17" s="380">
        <v>9958</v>
      </c>
      <c r="AJ17" s="377" t="s">
        <v>180</v>
      </c>
      <c r="AK17" s="377" t="s">
        <v>181</v>
      </c>
      <c r="AL17" s="377" t="s">
        <v>182</v>
      </c>
      <c r="AM17" s="377" t="s">
        <v>183</v>
      </c>
      <c r="AN17" s="377" t="s">
        <v>66</v>
      </c>
      <c r="AO17" s="380">
        <v>80</v>
      </c>
      <c r="AP17" s="386">
        <v>1</v>
      </c>
      <c r="AQ17" s="386">
        <v>1</v>
      </c>
      <c r="AR17" s="384" t="s">
        <v>184</v>
      </c>
      <c r="AS17" s="388">
        <f t="shared" si="27"/>
        <v>1</v>
      </c>
      <c r="AT17">
        <f t="shared" si="28"/>
        <v>1</v>
      </c>
      <c r="AU17" s="388">
        <f>IF(AT17=0,"",IF(AND(AT17=1,M17="F",SUMIF(C2:C23,C17,AS2:AS23)&lt;=1),SUMIF(C2:C23,C17,AS2:AS23),IF(AND(AT17=1,M17="F",SUMIF(C2:C23,C17,AS2:AS23)&gt;1),1,"")))</f>
        <v>1</v>
      </c>
      <c r="AV17" s="388" t="str">
        <f>IF(AT17=0,"",IF(AND(AT17=3,M17="F",SUMIF(C2:C23,C17,AS2:AS23)&lt;=1),SUMIF(C2:C23,C17,AS2:AS23),IF(AND(AT17=3,M17="F",SUMIF(C2:C23,C17,AS2:AS23)&gt;1),1,"")))</f>
        <v/>
      </c>
      <c r="AW17" s="388">
        <f>SUMIF(C2:C23,C17,O2:O23)</f>
        <v>1</v>
      </c>
      <c r="AX17" s="388">
        <f>IF(AND(M17="F",AS17&lt;&gt;0),SUMIF(C2:C23,C17,W2:W23),0)</f>
        <v>83200</v>
      </c>
      <c r="AY17" s="388">
        <f t="shared" si="29"/>
        <v>83200</v>
      </c>
      <c r="AZ17" s="388" t="str">
        <f t="shared" si="30"/>
        <v/>
      </c>
      <c r="BA17" s="388">
        <f t="shared" si="31"/>
        <v>0</v>
      </c>
      <c r="BB17" s="388">
        <f t="shared" si="0"/>
        <v>12500</v>
      </c>
      <c r="BC17" s="388">
        <f t="shared" si="1"/>
        <v>0</v>
      </c>
      <c r="BD17" s="388">
        <f t="shared" si="2"/>
        <v>5158.3999999999996</v>
      </c>
      <c r="BE17" s="388">
        <f t="shared" si="3"/>
        <v>1206.4000000000001</v>
      </c>
      <c r="BF17" s="388">
        <f t="shared" si="4"/>
        <v>9934.08</v>
      </c>
      <c r="BG17" s="388">
        <f t="shared" si="5"/>
        <v>599.87200000000007</v>
      </c>
      <c r="BH17" s="388">
        <f t="shared" si="6"/>
        <v>0</v>
      </c>
      <c r="BI17" s="388">
        <f t="shared" si="7"/>
        <v>0</v>
      </c>
      <c r="BJ17" s="388">
        <f t="shared" si="8"/>
        <v>274.56</v>
      </c>
      <c r="BK17" s="388">
        <f t="shared" si="9"/>
        <v>0</v>
      </c>
      <c r="BL17" s="388">
        <f t="shared" si="32"/>
        <v>17173.312000000002</v>
      </c>
      <c r="BM17" s="388">
        <f t="shared" si="33"/>
        <v>0</v>
      </c>
      <c r="BN17" s="388">
        <f t="shared" si="10"/>
        <v>13750</v>
      </c>
      <c r="BO17" s="388">
        <f t="shared" si="11"/>
        <v>0</v>
      </c>
      <c r="BP17" s="388">
        <f t="shared" si="12"/>
        <v>5158.3999999999996</v>
      </c>
      <c r="BQ17" s="388">
        <f t="shared" si="13"/>
        <v>1206.4000000000001</v>
      </c>
      <c r="BR17" s="388">
        <f t="shared" si="14"/>
        <v>9301.76</v>
      </c>
      <c r="BS17" s="388">
        <f t="shared" si="15"/>
        <v>599.87200000000007</v>
      </c>
      <c r="BT17" s="388">
        <f t="shared" si="16"/>
        <v>0</v>
      </c>
      <c r="BU17" s="388">
        <f t="shared" si="17"/>
        <v>0</v>
      </c>
      <c r="BV17" s="388">
        <f t="shared" si="18"/>
        <v>183.04000000000002</v>
      </c>
      <c r="BW17" s="388">
        <f t="shared" si="19"/>
        <v>0</v>
      </c>
      <c r="BX17" s="388">
        <f t="shared" si="34"/>
        <v>16449.471999999998</v>
      </c>
      <c r="BY17" s="388">
        <f t="shared" si="35"/>
        <v>0</v>
      </c>
      <c r="BZ17" s="388">
        <f t="shared" si="36"/>
        <v>1250</v>
      </c>
      <c r="CA17" s="388">
        <f t="shared" si="37"/>
        <v>0</v>
      </c>
      <c r="CB17" s="388">
        <f t="shared" si="38"/>
        <v>0</v>
      </c>
      <c r="CC17" s="388">
        <f t="shared" si="20"/>
        <v>0</v>
      </c>
      <c r="CD17" s="388">
        <f t="shared" si="21"/>
        <v>-632.32000000000085</v>
      </c>
      <c r="CE17" s="388">
        <f t="shared" si="22"/>
        <v>0</v>
      </c>
      <c r="CF17" s="388">
        <f t="shared" si="23"/>
        <v>0</v>
      </c>
      <c r="CG17" s="388">
        <f t="shared" si="24"/>
        <v>0</v>
      </c>
      <c r="CH17" s="388">
        <f t="shared" si="25"/>
        <v>-91.519999999999982</v>
      </c>
      <c r="CI17" s="388">
        <f t="shared" si="26"/>
        <v>0</v>
      </c>
      <c r="CJ17" s="388">
        <f t="shared" si="39"/>
        <v>-723.84000000000083</v>
      </c>
      <c r="CK17" s="388" t="str">
        <f t="shared" si="40"/>
        <v/>
      </c>
      <c r="CL17" s="388" t="str">
        <f t="shared" si="41"/>
        <v/>
      </c>
      <c r="CM17" s="388" t="str">
        <f t="shared" si="42"/>
        <v/>
      </c>
      <c r="CN17" s="388" t="str">
        <f t="shared" si="43"/>
        <v>0001-00</v>
      </c>
    </row>
    <row r="18" spans="1:92" ht="15.75" thickBot="1" x14ac:dyDescent="0.3">
      <c r="A18" s="377" t="s">
        <v>162</v>
      </c>
      <c r="B18" s="377" t="s">
        <v>163</v>
      </c>
      <c r="C18" s="377" t="s">
        <v>280</v>
      </c>
      <c r="D18" s="377" t="s">
        <v>186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187</v>
      </c>
      <c r="L18" s="377" t="s">
        <v>182</v>
      </c>
      <c r="M18" s="377" t="s">
        <v>172</v>
      </c>
      <c r="N18" s="377" t="s">
        <v>173</v>
      </c>
      <c r="O18" s="380">
        <v>1</v>
      </c>
      <c r="P18" s="386">
        <v>1</v>
      </c>
      <c r="Q18" s="386">
        <v>1</v>
      </c>
      <c r="R18" s="381">
        <v>80</v>
      </c>
      <c r="S18" s="386">
        <v>1</v>
      </c>
      <c r="T18" s="381">
        <v>67199.5</v>
      </c>
      <c r="U18" s="381">
        <v>0</v>
      </c>
      <c r="V18" s="381">
        <v>25923.11</v>
      </c>
      <c r="W18" s="381">
        <v>75004.800000000003</v>
      </c>
      <c r="X18" s="381">
        <v>27981.71</v>
      </c>
      <c r="Y18" s="381">
        <v>75004.800000000003</v>
      </c>
      <c r="Z18" s="381">
        <v>28579.17</v>
      </c>
      <c r="AA18" s="377" t="s">
        <v>281</v>
      </c>
      <c r="AB18" s="377" t="s">
        <v>282</v>
      </c>
      <c r="AC18" s="377" t="s">
        <v>283</v>
      </c>
      <c r="AD18" s="377" t="s">
        <v>284</v>
      </c>
      <c r="AE18" s="377" t="s">
        <v>187</v>
      </c>
      <c r="AF18" s="377" t="s">
        <v>192</v>
      </c>
      <c r="AG18" s="377" t="s">
        <v>179</v>
      </c>
      <c r="AH18" s="382">
        <v>36.06</v>
      </c>
      <c r="AI18" s="380">
        <v>12286</v>
      </c>
      <c r="AJ18" s="377" t="s">
        <v>180</v>
      </c>
      <c r="AK18" s="377" t="s">
        <v>181</v>
      </c>
      <c r="AL18" s="377" t="s">
        <v>182</v>
      </c>
      <c r="AM18" s="377" t="s">
        <v>183</v>
      </c>
      <c r="AN18" s="377" t="s">
        <v>66</v>
      </c>
      <c r="AO18" s="380">
        <v>80</v>
      </c>
      <c r="AP18" s="386">
        <v>1</v>
      </c>
      <c r="AQ18" s="386">
        <v>1</v>
      </c>
      <c r="AR18" s="384" t="s">
        <v>184</v>
      </c>
      <c r="AS18" s="388">
        <f t="shared" si="27"/>
        <v>1</v>
      </c>
      <c r="AT18">
        <f t="shared" si="28"/>
        <v>1</v>
      </c>
      <c r="AU18" s="388">
        <f>IF(AT18=0,"",IF(AND(AT18=1,M18="F",SUMIF(C2:C23,C18,AS2:AS23)&lt;=1),SUMIF(C2:C23,C18,AS2:AS23),IF(AND(AT18=1,M18="F",SUMIF(C2:C23,C18,AS2:AS23)&gt;1),1,"")))</f>
        <v>1</v>
      </c>
      <c r="AV18" s="388" t="str">
        <f>IF(AT18=0,"",IF(AND(AT18=3,M18="F",SUMIF(C2:C23,C18,AS2:AS23)&lt;=1),SUMIF(C2:C23,C18,AS2:AS23),IF(AND(AT18=3,M18="F",SUMIF(C2:C23,C18,AS2:AS23)&gt;1),1,"")))</f>
        <v/>
      </c>
      <c r="AW18" s="388">
        <f>SUMIF(C2:C23,C18,O2:O23)</f>
        <v>1</v>
      </c>
      <c r="AX18" s="388">
        <f>IF(AND(M18="F",AS18&lt;&gt;0),SUMIF(C2:C23,C18,W2:W23),0)</f>
        <v>75004.800000000003</v>
      </c>
      <c r="AY18" s="388">
        <f t="shared" si="29"/>
        <v>75004.800000000003</v>
      </c>
      <c r="AZ18" s="388" t="str">
        <f t="shared" si="30"/>
        <v/>
      </c>
      <c r="BA18" s="388">
        <f t="shared" si="31"/>
        <v>0</v>
      </c>
      <c r="BB18" s="388">
        <f t="shared" si="0"/>
        <v>12500</v>
      </c>
      <c r="BC18" s="388">
        <f t="shared" si="1"/>
        <v>0</v>
      </c>
      <c r="BD18" s="388">
        <f t="shared" si="2"/>
        <v>4650.2975999999999</v>
      </c>
      <c r="BE18" s="388">
        <f t="shared" si="3"/>
        <v>1087.5696</v>
      </c>
      <c r="BF18" s="388">
        <f t="shared" si="4"/>
        <v>8955.5731200000009</v>
      </c>
      <c r="BG18" s="388">
        <f t="shared" si="5"/>
        <v>540.78460800000005</v>
      </c>
      <c r="BH18" s="388">
        <f t="shared" si="6"/>
        <v>0</v>
      </c>
      <c r="BI18" s="388">
        <f t="shared" si="7"/>
        <v>0</v>
      </c>
      <c r="BJ18" s="388">
        <f t="shared" si="8"/>
        <v>247.51584</v>
      </c>
      <c r="BK18" s="388">
        <f t="shared" si="9"/>
        <v>0</v>
      </c>
      <c r="BL18" s="388">
        <f t="shared" si="32"/>
        <v>15481.740768000001</v>
      </c>
      <c r="BM18" s="388">
        <f t="shared" si="33"/>
        <v>0</v>
      </c>
      <c r="BN18" s="388">
        <f t="shared" si="10"/>
        <v>13750</v>
      </c>
      <c r="BO18" s="388">
        <f t="shared" si="11"/>
        <v>0</v>
      </c>
      <c r="BP18" s="388">
        <f t="shared" si="12"/>
        <v>4650.2975999999999</v>
      </c>
      <c r="BQ18" s="388">
        <f t="shared" si="13"/>
        <v>1087.5696</v>
      </c>
      <c r="BR18" s="388">
        <f t="shared" si="14"/>
        <v>8385.5366400000003</v>
      </c>
      <c r="BS18" s="388">
        <f t="shared" si="15"/>
        <v>540.78460800000005</v>
      </c>
      <c r="BT18" s="388">
        <f t="shared" si="16"/>
        <v>0</v>
      </c>
      <c r="BU18" s="388">
        <f t="shared" si="17"/>
        <v>0</v>
      </c>
      <c r="BV18" s="388">
        <f t="shared" si="18"/>
        <v>165.01056000000003</v>
      </c>
      <c r="BW18" s="388">
        <f t="shared" si="19"/>
        <v>0</v>
      </c>
      <c r="BX18" s="388">
        <f t="shared" si="34"/>
        <v>14829.199008</v>
      </c>
      <c r="BY18" s="388">
        <f t="shared" si="35"/>
        <v>0</v>
      </c>
      <c r="BZ18" s="388">
        <f t="shared" si="36"/>
        <v>1250</v>
      </c>
      <c r="CA18" s="388">
        <f t="shared" si="37"/>
        <v>0</v>
      </c>
      <c r="CB18" s="388">
        <f t="shared" si="38"/>
        <v>0</v>
      </c>
      <c r="CC18" s="388">
        <f t="shared" si="20"/>
        <v>0</v>
      </c>
      <c r="CD18" s="388">
        <f t="shared" si="21"/>
        <v>-570.03648000000078</v>
      </c>
      <c r="CE18" s="388">
        <f t="shared" si="22"/>
        <v>0</v>
      </c>
      <c r="CF18" s="388">
        <f t="shared" si="23"/>
        <v>0</v>
      </c>
      <c r="CG18" s="388">
        <f t="shared" si="24"/>
        <v>0</v>
      </c>
      <c r="CH18" s="388">
        <f t="shared" si="25"/>
        <v>-82.505279999999985</v>
      </c>
      <c r="CI18" s="388">
        <f t="shared" si="26"/>
        <v>0</v>
      </c>
      <c r="CJ18" s="388">
        <f t="shared" si="39"/>
        <v>-652.54176000000075</v>
      </c>
      <c r="CK18" s="388" t="str">
        <f t="shared" si="40"/>
        <v/>
      </c>
      <c r="CL18" s="388" t="str">
        <f t="shared" si="41"/>
        <v/>
      </c>
      <c r="CM18" s="388" t="str">
        <f t="shared" si="42"/>
        <v/>
      </c>
      <c r="CN18" s="388" t="str">
        <f t="shared" si="43"/>
        <v>0001-00</v>
      </c>
    </row>
    <row r="19" spans="1:92" ht="15.75" thickBot="1" x14ac:dyDescent="0.3">
      <c r="A19" s="377" t="s">
        <v>162</v>
      </c>
      <c r="B19" s="377" t="s">
        <v>163</v>
      </c>
      <c r="C19" s="377" t="s">
        <v>246</v>
      </c>
      <c r="D19" s="377" t="s">
        <v>233</v>
      </c>
      <c r="E19" s="377" t="s">
        <v>285</v>
      </c>
      <c r="F19" s="378" t="s">
        <v>167</v>
      </c>
      <c r="G19" s="377" t="s">
        <v>168</v>
      </c>
      <c r="H19" s="379"/>
      <c r="I19" s="379"/>
      <c r="J19" s="377" t="s">
        <v>247</v>
      </c>
      <c r="K19" s="377" t="s">
        <v>248</v>
      </c>
      <c r="L19" s="377" t="s">
        <v>249</v>
      </c>
      <c r="M19" s="377" t="s">
        <v>172</v>
      </c>
      <c r="N19" s="377" t="s">
        <v>173</v>
      </c>
      <c r="O19" s="380">
        <v>1</v>
      </c>
      <c r="P19" s="386">
        <v>0.3</v>
      </c>
      <c r="Q19" s="386">
        <v>0.3</v>
      </c>
      <c r="R19" s="381">
        <v>80</v>
      </c>
      <c r="S19" s="386">
        <v>0.3</v>
      </c>
      <c r="T19" s="381">
        <v>14614.56</v>
      </c>
      <c r="U19" s="381">
        <v>0</v>
      </c>
      <c r="V19" s="381">
        <v>6432.79</v>
      </c>
      <c r="W19" s="381">
        <v>15743.52</v>
      </c>
      <c r="X19" s="381">
        <v>6999.61</v>
      </c>
      <c r="Y19" s="381">
        <v>15743.52</v>
      </c>
      <c r="Z19" s="381">
        <v>7237.64</v>
      </c>
      <c r="AA19" s="377" t="s">
        <v>250</v>
      </c>
      <c r="AB19" s="377" t="s">
        <v>251</v>
      </c>
      <c r="AC19" s="377" t="s">
        <v>252</v>
      </c>
      <c r="AD19" s="377" t="s">
        <v>253</v>
      </c>
      <c r="AE19" s="377" t="s">
        <v>248</v>
      </c>
      <c r="AF19" s="377" t="s">
        <v>254</v>
      </c>
      <c r="AG19" s="377" t="s">
        <v>179</v>
      </c>
      <c r="AH19" s="382">
        <v>25.23</v>
      </c>
      <c r="AI19" s="382">
        <v>31997.200000000001</v>
      </c>
      <c r="AJ19" s="377" t="s">
        <v>180</v>
      </c>
      <c r="AK19" s="377" t="s">
        <v>181</v>
      </c>
      <c r="AL19" s="377" t="s">
        <v>182</v>
      </c>
      <c r="AM19" s="377" t="s">
        <v>183</v>
      </c>
      <c r="AN19" s="377" t="s">
        <v>66</v>
      </c>
      <c r="AO19" s="380">
        <v>80</v>
      </c>
      <c r="AP19" s="386">
        <v>1</v>
      </c>
      <c r="AQ19" s="386">
        <v>0.3</v>
      </c>
      <c r="AR19" s="384" t="s">
        <v>184</v>
      </c>
      <c r="AS19" s="388">
        <f t="shared" si="27"/>
        <v>0.3</v>
      </c>
      <c r="AT19">
        <f t="shared" si="28"/>
        <v>1</v>
      </c>
      <c r="AU19" s="388">
        <f>IF(AT19=0,"",IF(AND(AT19=1,M19="F",SUMIF(C2:C23,C19,AS2:AS23)&lt;=1),SUMIF(C2:C23,C19,AS2:AS23),IF(AND(AT19=1,M19="F",SUMIF(C2:C23,C19,AS2:AS23)&gt;1),1,"")))</f>
        <v>1</v>
      </c>
      <c r="AV19" s="388" t="str">
        <f>IF(AT19=0,"",IF(AND(AT19=3,M19="F",SUMIF(C2:C23,C19,AS2:AS23)&lt;=1),SUMIF(C2:C23,C19,AS2:AS23),IF(AND(AT19=3,M19="F",SUMIF(C2:C23,C19,AS2:AS23)&gt;1),1,"")))</f>
        <v/>
      </c>
      <c r="AW19" s="388">
        <f>SUMIF(C2:C23,C19,O2:O23)</f>
        <v>2</v>
      </c>
      <c r="AX19" s="388">
        <f>IF(AND(M19="F",AS19&lt;&gt;0),SUMIF(C2:C23,C19,W2:W23),0)</f>
        <v>52478.399999999994</v>
      </c>
      <c r="AY19" s="388">
        <f t="shared" si="29"/>
        <v>15743.52</v>
      </c>
      <c r="AZ19" s="388" t="str">
        <f t="shared" si="30"/>
        <v/>
      </c>
      <c r="BA19" s="388">
        <f t="shared" si="31"/>
        <v>0</v>
      </c>
      <c r="BB19" s="388">
        <f t="shared" si="0"/>
        <v>3750</v>
      </c>
      <c r="BC19" s="388">
        <f t="shared" si="1"/>
        <v>0</v>
      </c>
      <c r="BD19" s="388">
        <f t="shared" si="2"/>
        <v>976.09824000000003</v>
      </c>
      <c r="BE19" s="388">
        <f t="shared" si="3"/>
        <v>228.28104000000002</v>
      </c>
      <c r="BF19" s="388">
        <f t="shared" si="4"/>
        <v>1879.7762880000002</v>
      </c>
      <c r="BG19" s="388">
        <f t="shared" si="5"/>
        <v>113.5107792</v>
      </c>
      <c r="BH19" s="388">
        <f t="shared" si="6"/>
        <v>0</v>
      </c>
      <c r="BI19" s="388">
        <f t="shared" si="7"/>
        <v>0</v>
      </c>
      <c r="BJ19" s="388">
        <f t="shared" si="8"/>
        <v>51.953616000000004</v>
      </c>
      <c r="BK19" s="388">
        <f t="shared" si="9"/>
        <v>0</v>
      </c>
      <c r="BL19" s="388">
        <f t="shared" si="32"/>
        <v>3249.6199631999998</v>
      </c>
      <c r="BM19" s="388">
        <f t="shared" si="33"/>
        <v>0</v>
      </c>
      <c r="BN19" s="388">
        <f t="shared" si="10"/>
        <v>4125</v>
      </c>
      <c r="BO19" s="388">
        <f t="shared" si="11"/>
        <v>0</v>
      </c>
      <c r="BP19" s="388">
        <f t="shared" si="12"/>
        <v>976.09824000000003</v>
      </c>
      <c r="BQ19" s="388">
        <f t="shared" si="13"/>
        <v>228.28104000000002</v>
      </c>
      <c r="BR19" s="388">
        <f t="shared" si="14"/>
        <v>1760.125536</v>
      </c>
      <c r="BS19" s="388">
        <f t="shared" si="15"/>
        <v>113.5107792</v>
      </c>
      <c r="BT19" s="388">
        <f t="shared" si="16"/>
        <v>0</v>
      </c>
      <c r="BU19" s="388">
        <f t="shared" si="17"/>
        <v>0</v>
      </c>
      <c r="BV19" s="388">
        <f t="shared" si="18"/>
        <v>34.635744000000003</v>
      </c>
      <c r="BW19" s="388">
        <f t="shared" si="19"/>
        <v>0</v>
      </c>
      <c r="BX19" s="388">
        <f t="shared" si="34"/>
        <v>3112.6513392000002</v>
      </c>
      <c r="BY19" s="388">
        <f t="shared" si="35"/>
        <v>0</v>
      </c>
      <c r="BZ19" s="388">
        <f t="shared" si="36"/>
        <v>375</v>
      </c>
      <c r="CA19" s="388">
        <f t="shared" si="37"/>
        <v>0</v>
      </c>
      <c r="CB19" s="388">
        <f t="shared" si="38"/>
        <v>0</v>
      </c>
      <c r="CC19" s="388">
        <f t="shared" si="20"/>
        <v>0</v>
      </c>
      <c r="CD19" s="388">
        <f t="shared" si="21"/>
        <v>-119.65075200000015</v>
      </c>
      <c r="CE19" s="388">
        <f t="shared" si="22"/>
        <v>0</v>
      </c>
      <c r="CF19" s="388">
        <f t="shared" si="23"/>
        <v>0</v>
      </c>
      <c r="CG19" s="388">
        <f t="shared" si="24"/>
        <v>0</v>
      </c>
      <c r="CH19" s="388">
        <f t="shared" si="25"/>
        <v>-17.317871999999998</v>
      </c>
      <c r="CI19" s="388">
        <f t="shared" si="26"/>
        <v>0</v>
      </c>
      <c r="CJ19" s="388">
        <f t="shared" si="39"/>
        <v>-136.96862400000015</v>
      </c>
      <c r="CK19" s="388" t="str">
        <f t="shared" si="40"/>
        <v/>
      </c>
      <c r="CL19" s="388" t="str">
        <f t="shared" si="41"/>
        <v/>
      </c>
      <c r="CM19" s="388" t="str">
        <f t="shared" si="42"/>
        <v/>
      </c>
      <c r="CN19" s="388" t="str">
        <f t="shared" si="43"/>
        <v>0349-00</v>
      </c>
    </row>
    <row r="20" spans="1:92" ht="15.75" thickBot="1" x14ac:dyDescent="0.3">
      <c r="A20" s="377" t="s">
        <v>162</v>
      </c>
      <c r="B20" s="377" t="s">
        <v>163</v>
      </c>
      <c r="C20" s="377" t="s">
        <v>286</v>
      </c>
      <c r="D20" s="377" t="s">
        <v>287</v>
      </c>
      <c r="E20" s="377" t="s">
        <v>288</v>
      </c>
      <c r="F20" s="383" t="s">
        <v>289</v>
      </c>
      <c r="G20" s="377" t="s">
        <v>168</v>
      </c>
      <c r="H20" s="379"/>
      <c r="I20" s="379"/>
      <c r="J20" s="377" t="s">
        <v>169</v>
      </c>
      <c r="K20" s="377" t="s">
        <v>290</v>
      </c>
      <c r="L20" s="377" t="s">
        <v>167</v>
      </c>
      <c r="M20" s="377" t="s">
        <v>172</v>
      </c>
      <c r="N20" s="377" t="s">
        <v>173</v>
      </c>
      <c r="O20" s="380">
        <v>1</v>
      </c>
      <c r="P20" s="386">
        <v>1</v>
      </c>
      <c r="Q20" s="386">
        <v>1</v>
      </c>
      <c r="R20" s="381">
        <v>80</v>
      </c>
      <c r="S20" s="386">
        <v>1</v>
      </c>
      <c r="T20" s="381">
        <v>12976</v>
      </c>
      <c r="U20" s="381">
        <v>0</v>
      </c>
      <c r="V20" s="381">
        <v>4266.76</v>
      </c>
      <c r="W20" s="381">
        <v>57179.199999999997</v>
      </c>
      <c r="X20" s="381">
        <v>24302.34</v>
      </c>
      <c r="Y20" s="381">
        <v>57179.199999999997</v>
      </c>
      <c r="Z20" s="381">
        <v>25054.880000000001</v>
      </c>
      <c r="AA20" s="377" t="s">
        <v>291</v>
      </c>
      <c r="AB20" s="377" t="s">
        <v>292</v>
      </c>
      <c r="AC20" s="377" t="s">
        <v>293</v>
      </c>
      <c r="AD20" s="377" t="s">
        <v>294</v>
      </c>
      <c r="AE20" s="377" t="s">
        <v>290</v>
      </c>
      <c r="AF20" s="377" t="s">
        <v>225</v>
      </c>
      <c r="AG20" s="377" t="s">
        <v>179</v>
      </c>
      <c r="AH20" s="382">
        <v>27.49</v>
      </c>
      <c r="AI20" s="380">
        <v>2440</v>
      </c>
      <c r="AJ20" s="377" t="s">
        <v>180</v>
      </c>
      <c r="AK20" s="377" t="s">
        <v>181</v>
      </c>
      <c r="AL20" s="377" t="s">
        <v>182</v>
      </c>
      <c r="AM20" s="377" t="s">
        <v>183</v>
      </c>
      <c r="AN20" s="377" t="s">
        <v>66</v>
      </c>
      <c r="AO20" s="380">
        <v>80</v>
      </c>
      <c r="AP20" s="386">
        <v>1</v>
      </c>
      <c r="AQ20" s="386">
        <v>1</v>
      </c>
      <c r="AR20" s="384" t="s">
        <v>184</v>
      </c>
      <c r="AS20" s="388">
        <f t="shared" si="27"/>
        <v>1</v>
      </c>
      <c r="AT20">
        <f t="shared" si="28"/>
        <v>1</v>
      </c>
      <c r="AU20" s="388">
        <f>IF(AT20=0,"",IF(AND(AT20=1,M20="F",SUMIF(C2:C23,C20,AS2:AS23)&lt;=1),SUMIF(C2:C23,C20,AS2:AS23),IF(AND(AT20=1,M20="F",SUMIF(C2:C23,C20,AS2:AS23)&gt;1),1,"")))</f>
        <v>1</v>
      </c>
      <c r="AV20" s="388" t="str">
        <f>IF(AT20=0,"",IF(AND(AT20=3,M20="F",SUMIF(C2:C23,C20,AS2:AS23)&lt;=1),SUMIF(C2:C23,C20,AS2:AS23),IF(AND(AT20=3,M20="F",SUMIF(C2:C23,C20,AS2:AS23)&gt;1),1,"")))</f>
        <v/>
      </c>
      <c r="AW20" s="388">
        <f>SUMIF(C2:C23,C20,O2:O23)</f>
        <v>1</v>
      </c>
      <c r="AX20" s="388">
        <f>IF(AND(M20="F",AS20&lt;&gt;0),SUMIF(C2:C23,C20,W2:W23),0)</f>
        <v>57179.199999999997</v>
      </c>
      <c r="AY20" s="388">
        <f t="shared" si="29"/>
        <v>57179.199999999997</v>
      </c>
      <c r="AZ20" s="388" t="str">
        <f t="shared" si="30"/>
        <v/>
      </c>
      <c r="BA20" s="388">
        <f t="shared" si="31"/>
        <v>0</v>
      </c>
      <c r="BB20" s="388">
        <f t="shared" si="0"/>
        <v>12500</v>
      </c>
      <c r="BC20" s="388">
        <f t="shared" si="1"/>
        <v>0</v>
      </c>
      <c r="BD20" s="388">
        <f t="shared" si="2"/>
        <v>3545.1103999999996</v>
      </c>
      <c r="BE20" s="388">
        <f t="shared" si="3"/>
        <v>829.09839999999997</v>
      </c>
      <c r="BF20" s="388">
        <f t="shared" si="4"/>
        <v>6827.1964799999996</v>
      </c>
      <c r="BG20" s="388">
        <f t="shared" si="5"/>
        <v>412.26203199999998</v>
      </c>
      <c r="BH20" s="388">
        <f t="shared" si="6"/>
        <v>0</v>
      </c>
      <c r="BI20" s="388">
        <f t="shared" si="7"/>
        <v>0</v>
      </c>
      <c r="BJ20" s="388">
        <f t="shared" si="8"/>
        <v>188.69136</v>
      </c>
      <c r="BK20" s="388">
        <f t="shared" si="9"/>
        <v>0</v>
      </c>
      <c r="BL20" s="388">
        <f t="shared" si="32"/>
        <v>11802.358672</v>
      </c>
      <c r="BM20" s="388">
        <f t="shared" si="33"/>
        <v>0</v>
      </c>
      <c r="BN20" s="388">
        <f t="shared" si="10"/>
        <v>13750</v>
      </c>
      <c r="BO20" s="388">
        <f t="shared" si="11"/>
        <v>0</v>
      </c>
      <c r="BP20" s="388">
        <f t="shared" si="12"/>
        <v>3545.1103999999996</v>
      </c>
      <c r="BQ20" s="388">
        <f t="shared" si="13"/>
        <v>829.09839999999997</v>
      </c>
      <c r="BR20" s="388">
        <f t="shared" si="14"/>
        <v>6392.6345599999995</v>
      </c>
      <c r="BS20" s="388">
        <f t="shared" si="15"/>
        <v>412.26203199999998</v>
      </c>
      <c r="BT20" s="388">
        <f t="shared" si="16"/>
        <v>0</v>
      </c>
      <c r="BU20" s="388">
        <f t="shared" si="17"/>
        <v>0</v>
      </c>
      <c r="BV20" s="388">
        <f t="shared" si="18"/>
        <v>125.79424</v>
      </c>
      <c r="BW20" s="388">
        <f t="shared" si="19"/>
        <v>0</v>
      </c>
      <c r="BX20" s="388">
        <f t="shared" si="34"/>
        <v>11304.899631999999</v>
      </c>
      <c r="BY20" s="388">
        <f t="shared" si="35"/>
        <v>0</v>
      </c>
      <c r="BZ20" s="388">
        <f t="shared" si="36"/>
        <v>1250</v>
      </c>
      <c r="CA20" s="388">
        <f t="shared" si="37"/>
        <v>0</v>
      </c>
      <c r="CB20" s="388">
        <f t="shared" si="38"/>
        <v>0</v>
      </c>
      <c r="CC20" s="388">
        <f t="shared" si="20"/>
        <v>0</v>
      </c>
      <c r="CD20" s="388">
        <f t="shared" si="21"/>
        <v>-434.5619200000005</v>
      </c>
      <c r="CE20" s="388">
        <f t="shared" si="22"/>
        <v>0</v>
      </c>
      <c r="CF20" s="388">
        <f t="shared" si="23"/>
        <v>0</v>
      </c>
      <c r="CG20" s="388">
        <f t="shared" si="24"/>
        <v>0</v>
      </c>
      <c r="CH20" s="388">
        <f t="shared" si="25"/>
        <v>-62.897119999999987</v>
      </c>
      <c r="CI20" s="388">
        <f t="shared" si="26"/>
        <v>0</v>
      </c>
      <c r="CJ20" s="388">
        <f t="shared" si="39"/>
        <v>-497.45904000000047</v>
      </c>
      <c r="CK20" s="388" t="str">
        <f t="shared" si="40"/>
        <v/>
      </c>
      <c r="CL20" s="388" t="str">
        <f t="shared" si="41"/>
        <v/>
      </c>
      <c r="CM20" s="388" t="str">
        <f t="shared" si="42"/>
        <v/>
      </c>
      <c r="CN20" s="388" t="str">
        <f t="shared" si="43"/>
        <v>0475-05</v>
      </c>
    </row>
    <row r="21" spans="1:92" ht="15.75" thickBot="1" x14ac:dyDescent="0.3">
      <c r="A21" s="377" t="s">
        <v>162</v>
      </c>
      <c r="B21" s="377" t="s">
        <v>163</v>
      </c>
      <c r="C21" s="377" t="s">
        <v>295</v>
      </c>
      <c r="D21" s="377" t="s">
        <v>296</v>
      </c>
      <c r="E21" s="377" t="s">
        <v>288</v>
      </c>
      <c r="F21" s="383" t="s">
        <v>289</v>
      </c>
      <c r="G21" s="377" t="s">
        <v>168</v>
      </c>
      <c r="H21" s="379"/>
      <c r="I21" s="379"/>
      <c r="J21" s="377" t="s">
        <v>169</v>
      </c>
      <c r="K21" s="377" t="s">
        <v>297</v>
      </c>
      <c r="L21" s="377" t="s">
        <v>167</v>
      </c>
      <c r="M21" s="377" t="s">
        <v>172</v>
      </c>
      <c r="N21" s="377" t="s">
        <v>173</v>
      </c>
      <c r="O21" s="380">
        <v>1</v>
      </c>
      <c r="P21" s="386">
        <v>1</v>
      </c>
      <c r="Q21" s="386">
        <v>1</v>
      </c>
      <c r="R21" s="381">
        <v>80</v>
      </c>
      <c r="S21" s="386">
        <v>1</v>
      </c>
      <c r="T21" s="381">
        <v>79684.800000000003</v>
      </c>
      <c r="U21" s="381">
        <v>0</v>
      </c>
      <c r="V21" s="381">
        <v>28051.09</v>
      </c>
      <c r="W21" s="381">
        <v>84364.800000000003</v>
      </c>
      <c r="X21" s="381">
        <v>29913.71</v>
      </c>
      <c r="Y21" s="381">
        <v>84364.800000000003</v>
      </c>
      <c r="Z21" s="381">
        <v>30429.74</v>
      </c>
      <c r="AA21" s="377" t="s">
        <v>298</v>
      </c>
      <c r="AB21" s="377" t="s">
        <v>299</v>
      </c>
      <c r="AC21" s="377" t="s">
        <v>300</v>
      </c>
      <c r="AD21" s="377" t="s">
        <v>301</v>
      </c>
      <c r="AE21" s="377" t="s">
        <v>297</v>
      </c>
      <c r="AF21" s="377" t="s">
        <v>225</v>
      </c>
      <c r="AG21" s="377" t="s">
        <v>179</v>
      </c>
      <c r="AH21" s="382">
        <v>40.56</v>
      </c>
      <c r="AI21" s="382">
        <v>32210.5</v>
      </c>
      <c r="AJ21" s="377" t="s">
        <v>180</v>
      </c>
      <c r="AK21" s="377" t="s">
        <v>181</v>
      </c>
      <c r="AL21" s="377" t="s">
        <v>182</v>
      </c>
      <c r="AM21" s="377" t="s">
        <v>183</v>
      </c>
      <c r="AN21" s="377" t="s">
        <v>66</v>
      </c>
      <c r="AO21" s="380">
        <v>80</v>
      </c>
      <c r="AP21" s="386">
        <v>1</v>
      </c>
      <c r="AQ21" s="386">
        <v>1</v>
      </c>
      <c r="AR21" s="384" t="s">
        <v>184</v>
      </c>
      <c r="AS21" s="388">
        <f t="shared" si="27"/>
        <v>1</v>
      </c>
      <c r="AT21">
        <f t="shared" si="28"/>
        <v>1</v>
      </c>
      <c r="AU21" s="388">
        <f>IF(AT21=0,"",IF(AND(AT21=1,M21="F",SUMIF(C2:C23,C21,AS2:AS23)&lt;=1),SUMIF(C2:C23,C21,AS2:AS23),IF(AND(AT21=1,M21="F",SUMIF(C2:C23,C21,AS2:AS23)&gt;1),1,"")))</f>
        <v>1</v>
      </c>
      <c r="AV21" s="388" t="str">
        <f>IF(AT21=0,"",IF(AND(AT21=3,M21="F",SUMIF(C2:C23,C21,AS2:AS23)&lt;=1),SUMIF(C2:C23,C21,AS2:AS23),IF(AND(AT21=3,M21="F",SUMIF(C2:C23,C21,AS2:AS23)&gt;1),1,"")))</f>
        <v/>
      </c>
      <c r="AW21" s="388">
        <f>SUMIF(C2:C23,C21,O2:O23)</f>
        <v>1</v>
      </c>
      <c r="AX21" s="388">
        <f>IF(AND(M21="F",AS21&lt;&gt;0),SUMIF(C2:C23,C21,W2:W23),0)</f>
        <v>84364.800000000003</v>
      </c>
      <c r="AY21" s="388">
        <f t="shared" si="29"/>
        <v>84364.800000000003</v>
      </c>
      <c r="AZ21" s="388" t="str">
        <f t="shared" si="30"/>
        <v/>
      </c>
      <c r="BA21" s="388">
        <f t="shared" si="31"/>
        <v>0</v>
      </c>
      <c r="BB21" s="388">
        <f t="shared" si="0"/>
        <v>12500</v>
      </c>
      <c r="BC21" s="388">
        <f t="shared" si="1"/>
        <v>0</v>
      </c>
      <c r="BD21" s="388">
        <f t="shared" si="2"/>
        <v>5230.6176000000005</v>
      </c>
      <c r="BE21" s="388">
        <f t="shared" si="3"/>
        <v>1223.2896000000001</v>
      </c>
      <c r="BF21" s="388">
        <f t="shared" si="4"/>
        <v>10073.157120000002</v>
      </c>
      <c r="BG21" s="388">
        <f t="shared" si="5"/>
        <v>608.27020800000003</v>
      </c>
      <c r="BH21" s="388">
        <f t="shared" si="6"/>
        <v>0</v>
      </c>
      <c r="BI21" s="388">
        <f t="shared" si="7"/>
        <v>0</v>
      </c>
      <c r="BJ21" s="388">
        <f t="shared" si="8"/>
        <v>278.40384</v>
      </c>
      <c r="BK21" s="388">
        <f t="shared" si="9"/>
        <v>0</v>
      </c>
      <c r="BL21" s="388">
        <f t="shared" si="32"/>
        <v>17413.738368000002</v>
      </c>
      <c r="BM21" s="388">
        <f t="shared" si="33"/>
        <v>0</v>
      </c>
      <c r="BN21" s="388">
        <f t="shared" si="10"/>
        <v>13750</v>
      </c>
      <c r="BO21" s="388">
        <f t="shared" si="11"/>
        <v>0</v>
      </c>
      <c r="BP21" s="388">
        <f t="shared" si="12"/>
        <v>5230.6176000000005</v>
      </c>
      <c r="BQ21" s="388">
        <f t="shared" si="13"/>
        <v>1223.2896000000001</v>
      </c>
      <c r="BR21" s="388">
        <f t="shared" si="14"/>
        <v>9431.9846400000006</v>
      </c>
      <c r="BS21" s="388">
        <f t="shared" si="15"/>
        <v>608.27020800000003</v>
      </c>
      <c r="BT21" s="388">
        <f t="shared" si="16"/>
        <v>0</v>
      </c>
      <c r="BU21" s="388">
        <f t="shared" si="17"/>
        <v>0</v>
      </c>
      <c r="BV21" s="388">
        <f t="shared" si="18"/>
        <v>185.60256000000001</v>
      </c>
      <c r="BW21" s="388">
        <f t="shared" si="19"/>
        <v>0</v>
      </c>
      <c r="BX21" s="388">
        <f t="shared" si="34"/>
        <v>16679.764608000001</v>
      </c>
      <c r="BY21" s="388">
        <f t="shared" si="35"/>
        <v>0</v>
      </c>
      <c r="BZ21" s="388">
        <f t="shared" si="36"/>
        <v>1250</v>
      </c>
      <c r="CA21" s="388">
        <f t="shared" si="37"/>
        <v>0</v>
      </c>
      <c r="CB21" s="388">
        <f t="shared" si="38"/>
        <v>0</v>
      </c>
      <c r="CC21" s="388">
        <f t="shared" si="20"/>
        <v>0</v>
      </c>
      <c r="CD21" s="388">
        <f t="shared" si="21"/>
        <v>-641.17248000000086</v>
      </c>
      <c r="CE21" s="388">
        <f t="shared" si="22"/>
        <v>0</v>
      </c>
      <c r="CF21" s="388">
        <f t="shared" si="23"/>
        <v>0</v>
      </c>
      <c r="CG21" s="388">
        <f t="shared" si="24"/>
        <v>0</v>
      </c>
      <c r="CH21" s="388">
        <f t="shared" si="25"/>
        <v>-92.801279999999991</v>
      </c>
      <c r="CI21" s="388">
        <f t="shared" si="26"/>
        <v>0</v>
      </c>
      <c r="CJ21" s="388">
        <f t="shared" si="39"/>
        <v>-733.97376000000088</v>
      </c>
      <c r="CK21" s="388" t="str">
        <f t="shared" si="40"/>
        <v/>
      </c>
      <c r="CL21" s="388" t="str">
        <f t="shared" si="41"/>
        <v/>
      </c>
      <c r="CM21" s="388" t="str">
        <f t="shared" si="42"/>
        <v/>
      </c>
      <c r="CN21" s="388" t="str">
        <f t="shared" si="43"/>
        <v>0475-05</v>
      </c>
    </row>
    <row r="22" spans="1:92" ht="15.75" thickBot="1" x14ac:dyDescent="0.3">
      <c r="A22" s="377" t="s">
        <v>162</v>
      </c>
      <c r="B22" s="377" t="s">
        <v>163</v>
      </c>
      <c r="C22" s="377" t="s">
        <v>302</v>
      </c>
      <c r="D22" s="377" t="s">
        <v>303</v>
      </c>
      <c r="E22" s="377" t="s">
        <v>288</v>
      </c>
      <c r="F22" s="383" t="s">
        <v>289</v>
      </c>
      <c r="G22" s="377" t="s">
        <v>168</v>
      </c>
      <c r="H22" s="379"/>
      <c r="I22" s="379"/>
      <c r="J22" s="377" t="s">
        <v>169</v>
      </c>
      <c r="K22" s="377" t="s">
        <v>304</v>
      </c>
      <c r="L22" s="377" t="s">
        <v>305</v>
      </c>
      <c r="M22" s="377" t="s">
        <v>244</v>
      </c>
      <c r="N22" s="377" t="s">
        <v>173</v>
      </c>
      <c r="O22" s="380">
        <v>0</v>
      </c>
      <c r="P22" s="386">
        <v>1</v>
      </c>
      <c r="Q22" s="386">
        <v>1</v>
      </c>
      <c r="R22" s="381">
        <v>80</v>
      </c>
      <c r="S22" s="386">
        <v>1</v>
      </c>
      <c r="T22" s="381">
        <v>32000</v>
      </c>
      <c r="U22" s="381">
        <v>0</v>
      </c>
      <c r="V22" s="381">
        <v>14971.54</v>
      </c>
      <c r="W22" s="381">
        <v>41600</v>
      </c>
      <c r="X22" s="381">
        <v>18720</v>
      </c>
      <c r="Y22" s="381">
        <v>41600</v>
      </c>
      <c r="Z22" s="381">
        <v>19385.599999999999</v>
      </c>
      <c r="AA22" s="379"/>
      <c r="AB22" s="377" t="s">
        <v>45</v>
      </c>
      <c r="AC22" s="377" t="s">
        <v>45</v>
      </c>
      <c r="AD22" s="379"/>
      <c r="AE22" s="379"/>
      <c r="AF22" s="379"/>
      <c r="AG22" s="379"/>
      <c r="AH22" s="380">
        <v>0</v>
      </c>
      <c r="AI22" s="380">
        <v>0</v>
      </c>
      <c r="AJ22" s="379"/>
      <c r="AK22" s="379"/>
      <c r="AL22" s="377" t="s">
        <v>182</v>
      </c>
      <c r="AM22" s="379"/>
      <c r="AN22" s="379"/>
      <c r="AO22" s="380">
        <v>0</v>
      </c>
      <c r="AP22" s="386">
        <v>0</v>
      </c>
      <c r="AQ22" s="386">
        <v>0</v>
      </c>
      <c r="AR22" s="385"/>
      <c r="AS22" s="388">
        <f t="shared" si="27"/>
        <v>0</v>
      </c>
      <c r="AT22">
        <f t="shared" si="28"/>
        <v>0</v>
      </c>
      <c r="AU22" s="388" t="str">
        <f>IF(AT22=0,"",IF(AND(AT22=1,M22="F",SUMIF(C2:C23,C22,AS2:AS23)&lt;=1),SUMIF(C2:C23,C22,AS2:AS23),IF(AND(AT22=1,M22="F",SUMIF(C2:C23,C22,AS2:AS23)&gt;1),1,"")))</f>
        <v/>
      </c>
      <c r="AV22" s="388" t="str">
        <f>IF(AT22=0,"",IF(AND(AT22=3,M22="F",SUMIF(C2:C23,C22,AS2:AS23)&lt;=1),SUMIF(C2:C23,C22,AS2:AS23),IF(AND(AT22=3,M22="F",SUMIF(C2:C23,C22,AS2:AS23)&gt;1),1,"")))</f>
        <v/>
      </c>
      <c r="AW22" s="388">
        <f>SUMIF(C2:C23,C22,O2:O23)</f>
        <v>0</v>
      </c>
      <c r="AX22" s="388">
        <f>IF(AND(M22="F",AS22&lt;&gt;0),SUMIF(C2:C23,C22,W2:W23),0)</f>
        <v>0</v>
      </c>
      <c r="AY22" s="388" t="str">
        <f t="shared" si="29"/>
        <v/>
      </c>
      <c r="AZ22" s="388" t="str">
        <f t="shared" si="30"/>
        <v/>
      </c>
      <c r="BA22" s="388">
        <f t="shared" si="31"/>
        <v>0</v>
      </c>
      <c r="BB22" s="388">
        <f t="shared" si="0"/>
        <v>0</v>
      </c>
      <c r="BC22" s="388">
        <f t="shared" si="1"/>
        <v>0</v>
      </c>
      <c r="BD22" s="388">
        <f t="shared" si="2"/>
        <v>0</v>
      </c>
      <c r="BE22" s="388">
        <f t="shared" si="3"/>
        <v>0</v>
      </c>
      <c r="BF22" s="388">
        <f t="shared" si="4"/>
        <v>0</v>
      </c>
      <c r="BG22" s="388">
        <f t="shared" si="5"/>
        <v>0</v>
      </c>
      <c r="BH22" s="388">
        <f t="shared" si="6"/>
        <v>0</v>
      </c>
      <c r="BI22" s="388">
        <f t="shared" si="7"/>
        <v>0</v>
      </c>
      <c r="BJ22" s="388">
        <f t="shared" si="8"/>
        <v>0</v>
      </c>
      <c r="BK22" s="388">
        <f t="shared" si="9"/>
        <v>0</v>
      </c>
      <c r="BL22" s="388">
        <f t="shared" si="32"/>
        <v>0</v>
      </c>
      <c r="BM22" s="388">
        <f t="shared" si="33"/>
        <v>0</v>
      </c>
      <c r="BN22" s="388">
        <f t="shared" si="10"/>
        <v>0</v>
      </c>
      <c r="BO22" s="388">
        <f t="shared" si="11"/>
        <v>0</v>
      </c>
      <c r="BP22" s="388">
        <f t="shared" si="12"/>
        <v>0</v>
      </c>
      <c r="BQ22" s="388">
        <f t="shared" si="13"/>
        <v>0</v>
      </c>
      <c r="BR22" s="388">
        <f t="shared" si="14"/>
        <v>0</v>
      </c>
      <c r="BS22" s="388">
        <f t="shared" si="15"/>
        <v>0</v>
      </c>
      <c r="BT22" s="388">
        <f t="shared" si="16"/>
        <v>0</v>
      </c>
      <c r="BU22" s="388">
        <f t="shared" si="17"/>
        <v>0</v>
      </c>
      <c r="BV22" s="388">
        <f t="shared" si="18"/>
        <v>0</v>
      </c>
      <c r="BW22" s="388">
        <f t="shared" si="19"/>
        <v>0</v>
      </c>
      <c r="BX22" s="388">
        <f t="shared" si="34"/>
        <v>0</v>
      </c>
      <c r="BY22" s="388">
        <f t="shared" si="35"/>
        <v>0</v>
      </c>
      <c r="BZ22" s="388">
        <f t="shared" si="36"/>
        <v>0</v>
      </c>
      <c r="CA22" s="388">
        <f t="shared" si="37"/>
        <v>0</v>
      </c>
      <c r="CB22" s="388">
        <f t="shared" si="38"/>
        <v>0</v>
      </c>
      <c r="CC22" s="388">
        <f t="shared" si="20"/>
        <v>0</v>
      </c>
      <c r="CD22" s="388">
        <f t="shared" si="21"/>
        <v>0</v>
      </c>
      <c r="CE22" s="388">
        <f t="shared" si="22"/>
        <v>0</v>
      </c>
      <c r="CF22" s="388">
        <f t="shared" si="23"/>
        <v>0</v>
      </c>
      <c r="CG22" s="388">
        <f t="shared" si="24"/>
        <v>0</v>
      </c>
      <c r="CH22" s="388">
        <f t="shared" si="25"/>
        <v>0</v>
      </c>
      <c r="CI22" s="388">
        <f t="shared" si="26"/>
        <v>0</v>
      </c>
      <c r="CJ22" s="388">
        <f t="shared" si="39"/>
        <v>0</v>
      </c>
      <c r="CK22" s="388" t="str">
        <f t="shared" si="40"/>
        <v/>
      </c>
      <c r="CL22" s="388" t="str">
        <f t="shared" si="41"/>
        <v/>
      </c>
      <c r="CM22" s="388" t="str">
        <f t="shared" si="42"/>
        <v/>
      </c>
      <c r="CN22" s="388" t="str">
        <f t="shared" si="43"/>
        <v>0475-05</v>
      </c>
    </row>
    <row r="23" spans="1:92" ht="15.75" thickBot="1" x14ac:dyDescent="0.3">
      <c r="A23" s="377" t="s">
        <v>162</v>
      </c>
      <c r="B23" s="377" t="s">
        <v>163</v>
      </c>
      <c r="C23" s="377" t="s">
        <v>306</v>
      </c>
      <c r="D23" s="377" t="s">
        <v>307</v>
      </c>
      <c r="E23" s="377" t="s">
        <v>288</v>
      </c>
      <c r="F23" s="383" t="s">
        <v>289</v>
      </c>
      <c r="G23" s="377" t="s">
        <v>168</v>
      </c>
      <c r="H23" s="379"/>
      <c r="I23" s="379"/>
      <c r="J23" s="377" t="s">
        <v>169</v>
      </c>
      <c r="K23" s="377" t="s">
        <v>308</v>
      </c>
      <c r="L23" s="377" t="s">
        <v>167</v>
      </c>
      <c r="M23" s="377" t="s">
        <v>244</v>
      </c>
      <c r="N23" s="377" t="s">
        <v>173</v>
      </c>
      <c r="O23" s="380">
        <v>0</v>
      </c>
      <c r="P23" s="386">
        <v>1</v>
      </c>
      <c r="Q23" s="386">
        <v>1</v>
      </c>
      <c r="R23" s="381">
        <v>80</v>
      </c>
      <c r="S23" s="386">
        <v>1</v>
      </c>
      <c r="T23" s="381">
        <v>62848</v>
      </c>
      <c r="U23" s="381">
        <v>0</v>
      </c>
      <c r="V23" s="381">
        <v>21567.37</v>
      </c>
      <c r="W23" s="381">
        <v>81702.399999999994</v>
      </c>
      <c r="X23" s="381">
        <v>36766.080000000002</v>
      </c>
      <c r="Y23" s="381">
        <v>81702.399999999994</v>
      </c>
      <c r="Z23" s="381">
        <v>38073.31</v>
      </c>
      <c r="AA23" s="379"/>
      <c r="AB23" s="377" t="s">
        <v>45</v>
      </c>
      <c r="AC23" s="377" t="s">
        <v>45</v>
      </c>
      <c r="AD23" s="379"/>
      <c r="AE23" s="379"/>
      <c r="AF23" s="379"/>
      <c r="AG23" s="379"/>
      <c r="AH23" s="380">
        <v>0</v>
      </c>
      <c r="AI23" s="380">
        <v>0</v>
      </c>
      <c r="AJ23" s="379"/>
      <c r="AK23" s="379"/>
      <c r="AL23" s="377" t="s">
        <v>182</v>
      </c>
      <c r="AM23" s="379"/>
      <c r="AN23" s="379"/>
      <c r="AO23" s="380">
        <v>0</v>
      </c>
      <c r="AP23" s="386">
        <v>0</v>
      </c>
      <c r="AQ23" s="386">
        <v>0</v>
      </c>
      <c r="AR23" s="385"/>
      <c r="AS23" s="388">
        <f t="shared" si="27"/>
        <v>0</v>
      </c>
      <c r="AT23">
        <f t="shared" si="28"/>
        <v>0</v>
      </c>
      <c r="AU23" s="388" t="str">
        <f>IF(AT23=0,"",IF(AND(AT23=1,M23="F",SUMIF(C2:C23,C23,AS2:AS23)&lt;=1),SUMIF(C2:C23,C23,AS2:AS23),IF(AND(AT23=1,M23="F",SUMIF(C2:C23,C23,AS2:AS23)&gt;1),1,"")))</f>
        <v/>
      </c>
      <c r="AV23" s="388" t="str">
        <f>IF(AT23=0,"",IF(AND(AT23=3,M23="F",SUMIF(C2:C23,C23,AS2:AS23)&lt;=1),SUMIF(C2:C23,C23,AS2:AS23),IF(AND(AT23=3,M23="F",SUMIF(C2:C23,C23,AS2:AS23)&gt;1),1,"")))</f>
        <v/>
      </c>
      <c r="AW23" s="388">
        <f>SUMIF(C2:C23,C23,O2:O23)</f>
        <v>0</v>
      </c>
      <c r="AX23" s="388">
        <f>IF(AND(M23="F",AS23&lt;&gt;0),SUMIF(C2:C23,C23,W2:W23),0)</f>
        <v>0</v>
      </c>
      <c r="AY23" s="388" t="str">
        <f t="shared" si="29"/>
        <v/>
      </c>
      <c r="AZ23" s="388" t="str">
        <f t="shared" si="30"/>
        <v/>
      </c>
      <c r="BA23" s="388">
        <f t="shared" si="31"/>
        <v>0</v>
      </c>
      <c r="BB23" s="388">
        <f t="shared" si="0"/>
        <v>0</v>
      </c>
      <c r="BC23" s="388">
        <f t="shared" si="1"/>
        <v>0</v>
      </c>
      <c r="BD23" s="388">
        <f t="shared" si="2"/>
        <v>0</v>
      </c>
      <c r="BE23" s="388">
        <f t="shared" si="3"/>
        <v>0</v>
      </c>
      <c r="BF23" s="388">
        <f t="shared" si="4"/>
        <v>0</v>
      </c>
      <c r="BG23" s="388">
        <f t="shared" si="5"/>
        <v>0</v>
      </c>
      <c r="BH23" s="388">
        <f t="shared" si="6"/>
        <v>0</v>
      </c>
      <c r="BI23" s="388">
        <f t="shared" si="7"/>
        <v>0</v>
      </c>
      <c r="BJ23" s="388">
        <f t="shared" si="8"/>
        <v>0</v>
      </c>
      <c r="BK23" s="388">
        <f t="shared" si="9"/>
        <v>0</v>
      </c>
      <c r="BL23" s="388">
        <f t="shared" si="32"/>
        <v>0</v>
      </c>
      <c r="BM23" s="388">
        <f t="shared" si="33"/>
        <v>0</v>
      </c>
      <c r="BN23" s="388">
        <f t="shared" si="10"/>
        <v>0</v>
      </c>
      <c r="BO23" s="388">
        <f t="shared" si="11"/>
        <v>0</v>
      </c>
      <c r="BP23" s="388">
        <f t="shared" si="12"/>
        <v>0</v>
      </c>
      <c r="BQ23" s="388">
        <f t="shared" si="13"/>
        <v>0</v>
      </c>
      <c r="BR23" s="388">
        <f t="shared" si="14"/>
        <v>0</v>
      </c>
      <c r="BS23" s="388">
        <f t="shared" si="15"/>
        <v>0</v>
      </c>
      <c r="BT23" s="388">
        <f t="shared" si="16"/>
        <v>0</v>
      </c>
      <c r="BU23" s="388">
        <f t="shared" si="17"/>
        <v>0</v>
      </c>
      <c r="BV23" s="388">
        <f t="shared" si="18"/>
        <v>0</v>
      </c>
      <c r="BW23" s="388">
        <f t="shared" si="19"/>
        <v>0</v>
      </c>
      <c r="BX23" s="388">
        <f t="shared" si="34"/>
        <v>0</v>
      </c>
      <c r="BY23" s="388">
        <f t="shared" si="35"/>
        <v>0</v>
      </c>
      <c r="BZ23" s="388">
        <f t="shared" si="36"/>
        <v>0</v>
      </c>
      <c r="CA23" s="388">
        <f t="shared" si="37"/>
        <v>0</v>
      </c>
      <c r="CB23" s="388">
        <f t="shared" si="38"/>
        <v>0</v>
      </c>
      <c r="CC23" s="388">
        <f t="shared" si="20"/>
        <v>0</v>
      </c>
      <c r="CD23" s="388">
        <f t="shared" si="21"/>
        <v>0</v>
      </c>
      <c r="CE23" s="388">
        <f t="shared" si="22"/>
        <v>0</v>
      </c>
      <c r="CF23" s="388">
        <f t="shared" si="23"/>
        <v>0</v>
      </c>
      <c r="CG23" s="388">
        <f t="shared" si="24"/>
        <v>0</v>
      </c>
      <c r="CH23" s="388">
        <f t="shared" si="25"/>
        <v>0</v>
      </c>
      <c r="CI23" s="388">
        <f t="shared" si="26"/>
        <v>0</v>
      </c>
      <c r="CJ23" s="388">
        <f t="shared" si="39"/>
        <v>0</v>
      </c>
      <c r="CK23" s="388" t="str">
        <f t="shared" si="40"/>
        <v/>
      </c>
      <c r="CL23" s="388" t="str">
        <f t="shared" si="41"/>
        <v/>
      </c>
      <c r="CM23" s="388" t="str">
        <f t="shared" si="42"/>
        <v/>
      </c>
      <c r="CN23" s="388" t="str">
        <f t="shared" si="43"/>
        <v>0475-05</v>
      </c>
    </row>
    <row r="25" spans="1:92" ht="21" x14ac:dyDescent="0.35">
      <c r="AQ25" s="251" t="s">
        <v>377</v>
      </c>
    </row>
    <row r="26" spans="1:92" ht="15.75" thickBot="1" x14ac:dyDescent="0.3">
      <c r="AR26" t="s">
        <v>357</v>
      </c>
      <c r="AS26" s="388">
        <f>SUMIFS(AS2:AS23,G2:G23,"GVCA",E2:E23,"0001",F2:F23,"00",AT2:AT23,1)</f>
        <v>14.7</v>
      </c>
      <c r="AT26" s="388">
        <f>SUMIFS(AS2:AS23,G2:G23,"GVCA",E2:E23,"0001",F2:F23,"00",AT2:AT23,3)</f>
        <v>0</v>
      </c>
      <c r="AU26" s="388">
        <f>SUMIFS(AU2:AU23,G2:G23,"GVCA",E2:E23,"0001",F2:F23,"00")</f>
        <v>15</v>
      </c>
      <c r="AV26" s="388">
        <f>SUMIFS(AV2:AV23,G2:G23,"GVCA",E2:E23,"0001",F2:F23,"00")</f>
        <v>0</v>
      </c>
      <c r="AW26" s="388">
        <f>SUMIFS(AW2:AW23,G2:G23,"GVCA",E2:E23,"0001",F2:F23,"00")</f>
        <v>16</v>
      </c>
      <c r="AX26" s="388">
        <f>SUMIFS(AX2:AX23,G2:G23,"GVCA",E2:E23,"0001",F2:F23,"00")</f>
        <v>1336670.4000000001</v>
      </c>
      <c r="AY26" s="388">
        <f>SUMIFS(AY2:AY23,G2:G23,"GVCA",E2:E23,"0001",F2:F23,"00")</f>
        <v>1320926.8800000001</v>
      </c>
      <c r="AZ26" s="388">
        <f>SUMIFS(AZ2:AZ23,G2:G23,"GVCA",E2:E23,"0001",F2:F23,"00")</f>
        <v>0</v>
      </c>
      <c r="BA26" s="388">
        <f>SUMIFS(BA2:BA23,G2:G23,"GVCA",E2:E23,"0001",F2:F23,"00")</f>
        <v>0</v>
      </c>
      <c r="BB26" s="388">
        <f>SUMIFS(BB2:BB23,G2:G23,"GVCA",E2:E23,"0001",F2:F23,"00")</f>
        <v>183750</v>
      </c>
      <c r="BC26" s="388">
        <f>SUMIFS(BC2:BC23,G2:G23,"GVCA",E2:E23,"0001",F2:F23,"00")</f>
        <v>0</v>
      </c>
      <c r="BD26" s="388">
        <f>SUMIFS(BD2:BD23,G2:G23,"GVCA",E2:E23,"0001",F2:F23,"00")</f>
        <v>80640.602559999985</v>
      </c>
      <c r="BE26" s="388">
        <f>SUMIFS(BE2:BE23,G2:G23,"GVCA",E2:E23,"0001",F2:F23,"00")</f>
        <v>19153.439760000001</v>
      </c>
      <c r="BF26" s="388">
        <f>SUMIFS(BF2:BF23,G2:G23,"GVCA",E2:E23,"0001",F2:F23,"00")</f>
        <v>157718.66947199998</v>
      </c>
      <c r="BG26" s="388">
        <f>SUMIFS(BG2:BG23,G2:G23,"GVCA",E2:E23,"0001",F2:F23,"00")</f>
        <v>9523.8828048000014</v>
      </c>
      <c r="BH26" s="388">
        <f>SUMIFS(BH2:BH23,G2:G23,"GVCA",E2:E23,"0001",F2:F23,"00")</f>
        <v>0</v>
      </c>
      <c r="BI26" s="388">
        <f>SUMIFS(BI2:BI23,G2:G23,"GVCA",E2:E23,"0001",F2:F23,"00")</f>
        <v>0</v>
      </c>
      <c r="BJ26" s="388">
        <f>SUMIFS(BJ2:BJ23,G2:G23,"GVCA",E2:E23,"0001",F2:F23,"00")</f>
        <v>4359.058704</v>
      </c>
      <c r="BK26" s="388">
        <f>SUMIFS(BK2:BK23,G2:G23,"GVCA",E2:E23,"0001",F2:F23,"00")</f>
        <v>0</v>
      </c>
      <c r="BL26" s="388">
        <f>SUMIFS(BL2:BL23,G2:G23,"GVCA",E2:E23,"0001",F2:F23,"00")</f>
        <v>271395.65330080007</v>
      </c>
      <c r="BM26" s="388">
        <f>SUMIFS(BM2:BM23,G2:G23,"GVCA",E2:E23,"0001",F2:F23,"00")</f>
        <v>0</v>
      </c>
      <c r="BN26" s="388">
        <f>SUMIFS(BN2:BN23,G2:G23,"GVCA",E2:E23,"0001",F2:F23,"00")</f>
        <v>202125</v>
      </c>
      <c r="BO26" s="388">
        <f>SUMIFS(BO2:BO23,G2:G23,"GVCA",E2:E23,"0001",F2:F23,"00")</f>
        <v>0</v>
      </c>
      <c r="BP26" s="388">
        <f>SUMIFS(BP2:BP23,G2:G23,"GVCA",E2:E23,"0001",F2:F23,"00")</f>
        <v>80901.002560000008</v>
      </c>
      <c r="BQ26" s="388">
        <f>SUMIFS(BQ2:BQ23,G2:G23,"GVCA",E2:E23,"0001",F2:F23,"00")</f>
        <v>19153.439760000001</v>
      </c>
      <c r="BR26" s="388">
        <f>SUMIFS(BR2:BR23,G2:G23,"GVCA",E2:E23,"0001",F2:F23,"00")</f>
        <v>147679.625184</v>
      </c>
      <c r="BS26" s="388">
        <f>SUMIFS(BS2:BS23,G2:G23,"GVCA",E2:E23,"0001",F2:F23,"00")</f>
        <v>9523.8828048000014</v>
      </c>
      <c r="BT26" s="388">
        <f>SUMIFS(BT2:BT23,G2:G23,"GVCA",E2:E23,"0001",F2:F23,"00")</f>
        <v>0</v>
      </c>
      <c r="BU26" s="388">
        <f>SUMIFS(BU2:BU23,G2:G23,"GVCA",E2:E23,"0001",F2:F23,"00")</f>
        <v>0</v>
      </c>
      <c r="BV26" s="388">
        <f>SUMIFS(BV2:BV23,G2:G23,"GVCA",E2:E23,"0001",F2:F23,"00")</f>
        <v>2906.0391360000008</v>
      </c>
      <c r="BW26" s="388">
        <f>SUMIFS(BW2:BW23,G2:G23,"GVCA",E2:E23,"0001",F2:F23,"00")</f>
        <v>0</v>
      </c>
      <c r="BX26" s="388">
        <f>SUMIFS(BX2:BX23,G2:G23,"GVCA",E2:E23,"0001",F2:F23,"00")</f>
        <v>260163.98944480001</v>
      </c>
      <c r="BY26" s="388">
        <f>SUMIFS(BY2:BY23,G2:G23,"GVCA",E2:E23,"0001",F2:F23,"00")</f>
        <v>0</v>
      </c>
      <c r="BZ26" s="388">
        <f>SUMIFS(BZ2:BZ23,G2:G23,"GVCA",E2:E23,"0001",F2:F23,"00")</f>
        <v>18375</v>
      </c>
      <c r="CA26" s="388">
        <f>SUMIFS(CA2:CA23,G2:G23,"GVCA",E2:E23,"0001",F2:F23,"00")</f>
        <v>0</v>
      </c>
      <c r="CB26" s="388">
        <f>SUMIFS(CB2:CB23,G2:G23,"GVCA",E2:E23,"0001",F2:F23,"00")</f>
        <v>260.39999999999964</v>
      </c>
      <c r="CC26" s="388">
        <f>SUMIFS(CC2:CC23,G2:G23,"GVCA",E2:E23,"0001",F2:F23,"00")</f>
        <v>0</v>
      </c>
      <c r="CD26" s="388">
        <f>SUMIFS(CD2:CD23,G2:G23,"GVCA",E2:E23,"0001",F2:F23,"00")</f>
        <v>-10039.044288000014</v>
      </c>
      <c r="CE26" s="388">
        <f>SUMIFS(CE2:CE23,G2:G23,"GVCA",E2:E23,"0001",F2:F23,"00")</f>
        <v>0</v>
      </c>
      <c r="CF26" s="388">
        <f>SUMIFS(CF2:CF23,G2:G23,"GVCA",E2:E23,"0001",F2:F23,"00")</f>
        <v>0</v>
      </c>
      <c r="CG26" s="388">
        <f>SUMIFS(CG2:CG23,G2:G23,"GVCA",E2:E23,"0001",F2:F23,"00")</f>
        <v>0</v>
      </c>
      <c r="CH26" s="388">
        <f>SUMIFS(CH2:CH23,G2:G23,"GVCA",E2:E23,"0001",F2:F23,"00")</f>
        <v>-1453.0195679999999</v>
      </c>
      <c r="CI26" s="388">
        <f>SUMIFS(CI2:CI23,G2:G23,"GVCA",E2:E23,"0001",F2:F23,"00")</f>
        <v>0</v>
      </c>
      <c r="CJ26" s="388">
        <f>SUMIFS(CJ2:CJ23,G2:G23,"GVCA",E2:E23,"0001",F2:F23,"00")</f>
        <v>-11231.663856000012</v>
      </c>
      <c r="CK26" s="388">
        <f>SUMIFS(CK2:CK23,G2:G23,"GVCA",E2:E23,"0001",F2:F23,"00")</f>
        <v>0</v>
      </c>
      <c r="CL26" s="388">
        <f>SUMIFS(CL2:CL23,G2:G23,"GVCA",E2:E23,"0001",F2:F23,"00")</f>
        <v>5005</v>
      </c>
      <c r="CM26" s="388">
        <f>SUMIFS(CM2:CM23,G2:G23,"GVCA",E2:E23,"0001",F2:F23,"00")</f>
        <v>583.80999999999995</v>
      </c>
    </row>
    <row r="27" spans="1:92" ht="18.75" x14ac:dyDescent="0.3">
      <c r="AQ27" s="394" t="s">
        <v>358</v>
      </c>
      <c r="AS27" s="395">
        <f t="shared" ref="AS27:CM27" si="44">SUM(AS26:AS26)</f>
        <v>14.7</v>
      </c>
      <c r="AT27" s="395">
        <f t="shared" si="44"/>
        <v>0</v>
      </c>
      <c r="AU27" s="395">
        <f t="shared" si="44"/>
        <v>15</v>
      </c>
      <c r="AV27" s="395">
        <f t="shared" si="44"/>
        <v>0</v>
      </c>
      <c r="AW27" s="395">
        <f t="shared" si="44"/>
        <v>16</v>
      </c>
      <c r="AX27" s="395">
        <f t="shared" si="44"/>
        <v>1336670.4000000001</v>
      </c>
      <c r="AY27" s="395">
        <f t="shared" si="44"/>
        <v>1320926.8800000001</v>
      </c>
      <c r="AZ27" s="395">
        <f t="shared" si="44"/>
        <v>0</v>
      </c>
      <c r="BA27" s="395">
        <f t="shared" si="44"/>
        <v>0</v>
      </c>
      <c r="BB27" s="395">
        <f t="shared" si="44"/>
        <v>183750</v>
      </c>
      <c r="BC27" s="395">
        <f t="shared" si="44"/>
        <v>0</v>
      </c>
      <c r="BD27" s="395">
        <f t="shared" si="44"/>
        <v>80640.602559999985</v>
      </c>
      <c r="BE27" s="395">
        <f t="shared" si="44"/>
        <v>19153.439760000001</v>
      </c>
      <c r="BF27" s="395">
        <f t="shared" si="44"/>
        <v>157718.66947199998</v>
      </c>
      <c r="BG27" s="395">
        <f t="shared" si="44"/>
        <v>9523.8828048000014</v>
      </c>
      <c r="BH27" s="395">
        <f t="shared" si="44"/>
        <v>0</v>
      </c>
      <c r="BI27" s="395">
        <f t="shared" si="44"/>
        <v>0</v>
      </c>
      <c r="BJ27" s="395">
        <f t="shared" si="44"/>
        <v>4359.058704</v>
      </c>
      <c r="BK27" s="395">
        <f t="shared" si="44"/>
        <v>0</v>
      </c>
      <c r="BL27" s="395">
        <f t="shared" si="44"/>
        <v>271395.65330080007</v>
      </c>
      <c r="BM27" s="395">
        <f t="shared" si="44"/>
        <v>0</v>
      </c>
      <c r="BN27" s="395">
        <f t="shared" si="44"/>
        <v>202125</v>
      </c>
      <c r="BO27" s="395">
        <f t="shared" si="44"/>
        <v>0</v>
      </c>
      <c r="BP27" s="395">
        <f t="shared" si="44"/>
        <v>80901.002560000008</v>
      </c>
      <c r="BQ27" s="395">
        <f t="shared" si="44"/>
        <v>19153.439760000001</v>
      </c>
      <c r="BR27" s="395">
        <f t="shared" si="44"/>
        <v>147679.625184</v>
      </c>
      <c r="BS27" s="395">
        <f t="shared" si="44"/>
        <v>9523.8828048000014</v>
      </c>
      <c r="BT27" s="395">
        <f t="shared" si="44"/>
        <v>0</v>
      </c>
      <c r="BU27" s="395">
        <f t="shared" si="44"/>
        <v>0</v>
      </c>
      <c r="BV27" s="395">
        <f t="shared" si="44"/>
        <v>2906.0391360000008</v>
      </c>
      <c r="BW27" s="395">
        <f t="shared" si="44"/>
        <v>0</v>
      </c>
      <c r="BX27" s="395">
        <f t="shared" si="44"/>
        <v>260163.98944480001</v>
      </c>
      <c r="BY27" s="395">
        <f t="shared" si="44"/>
        <v>0</v>
      </c>
      <c r="BZ27" s="395">
        <f t="shared" si="44"/>
        <v>18375</v>
      </c>
      <c r="CA27" s="395">
        <f t="shared" si="44"/>
        <v>0</v>
      </c>
      <c r="CB27" s="395">
        <f t="shared" si="44"/>
        <v>260.39999999999964</v>
      </c>
      <c r="CC27" s="395">
        <f t="shared" si="44"/>
        <v>0</v>
      </c>
      <c r="CD27" s="395">
        <f t="shared" si="44"/>
        <v>-10039.044288000014</v>
      </c>
      <c r="CE27" s="395">
        <f t="shared" si="44"/>
        <v>0</v>
      </c>
      <c r="CF27" s="395">
        <f t="shared" si="44"/>
        <v>0</v>
      </c>
      <c r="CG27" s="395">
        <f t="shared" si="44"/>
        <v>0</v>
      </c>
      <c r="CH27" s="395">
        <f t="shared" si="44"/>
        <v>-1453.0195679999999</v>
      </c>
      <c r="CI27" s="395">
        <f t="shared" si="44"/>
        <v>0</v>
      </c>
      <c r="CJ27" s="395">
        <f t="shared" si="44"/>
        <v>-11231.663856000012</v>
      </c>
      <c r="CK27" s="395">
        <f t="shared" si="44"/>
        <v>0</v>
      </c>
      <c r="CL27" s="395">
        <f t="shared" si="44"/>
        <v>5005</v>
      </c>
      <c r="CM27" s="395">
        <f t="shared" si="44"/>
        <v>583.80999999999995</v>
      </c>
    </row>
    <row r="28" spans="1:92" ht="15.75" thickBot="1" x14ac:dyDescent="0.3">
      <c r="AR28" t="s">
        <v>365</v>
      </c>
      <c r="AS28" s="388">
        <f>SUMIFS(AS2:AS23,G2:G23,"GVCA",E2:E23,"0349",F2:F23,"00",AT2:AT23,1)</f>
        <v>0.3</v>
      </c>
      <c r="AT28" s="388">
        <f>SUMIFS(AS2:AS23,G2:G23,"GVCA",E2:E23,"0349",F2:F23,"00",AT2:AT23,3)</f>
        <v>0</v>
      </c>
      <c r="AU28" s="388">
        <f>SUMIFS(AU2:AU23,G2:G23,"GVCA",E2:E23,"0349",F2:F23,"00")</f>
        <v>1</v>
      </c>
      <c r="AV28" s="388">
        <f>SUMIFS(AV2:AV23,G2:G23,"GVCA",E2:E23,"0349",F2:F23,"00")</f>
        <v>0</v>
      </c>
      <c r="AW28" s="388">
        <f>SUMIFS(AW2:AW23,G2:G23,"GVCA",E2:E23,"0349",F2:F23,"00")</f>
        <v>2</v>
      </c>
      <c r="AX28" s="388">
        <f>SUMIFS(AX2:AX23,G2:G23,"GVCA",E2:E23,"0349",F2:F23,"00")</f>
        <v>52478.399999999994</v>
      </c>
      <c r="AY28" s="388">
        <f>SUMIFS(AY2:AY23,G2:G23,"GVCA",E2:E23,"0349",F2:F23,"00")</f>
        <v>15743.52</v>
      </c>
      <c r="AZ28" s="388">
        <f>SUMIFS(AZ2:AZ23,G2:G23,"GVCA",E2:E23,"0349",F2:F23,"00")</f>
        <v>0</v>
      </c>
      <c r="BA28" s="388">
        <f>SUMIFS(BA2:BA23,G2:G23,"GVCA",E2:E23,"0349",F2:F23,"00")</f>
        <v>0</v>
      </c>
      <c r="BB28" s="388">
        <f>SUMIFS(BB2:BB23,G2:G23,"GVCA",E2:E23,"0349",F2:F23,"00")</f>
        <v>3750</v>
      </c>
      <c r="BC28" s="388">
        <f>SUMIFS(BC2:BC23,G2:G23,"GVCA",E2:E23,"0349",F2:F23,"00")</f>
        <v>0</v>
      </c>
      <c r="BD28" s="388">
        <f>SUMIFS(BD2:BD23,G2:G23,"GVCA",E2:E23,"0349",F2:F23,"00")</f>
        <v>976.09824000000003</v>
      </c>
      <c r="BE28" s="388">
        <f>SUMIFS(BE2:BE23,G2:G23,"GVCA",E2:E23,"0349",F2:F23,"00")</f>
        <v>228.28104000000002</v>
      </c>
      <c r="BF28" s="388">
        <f>SUMIFS(BF2:BF23,G2:G23,"GVCA",E2:E23,"0349",F2:F23,"00")</f>
        <v>1879.7762880000002</v>
      </c>
      <c r="BG28" s="388">
        <f>SUMIFS(BG2:BG23,G2:G23,"GVCA",E2:E23,"0349",F2:F23,"00")</f>
        <v>113.5107792</v>
      </c>
      <c r="BH28" s="388">
        <f>SUMIFS(BH2:BH23,G2:G23,"GVCA",E2:E23,"0349",F2:F23,"00")</f>
        <v>0</v>
      </c>
      <c r="BI28" s="388">
        <f>SUMIFS(BI2:BI23,G2:G23,"GVCA",E2:E23,"0349",F2:F23,"00")</f>
        <v>0</v>
      </c>
      <c r="BJ28" s="388">
        <f>SUMIFS(BJ2:BJ23,G2:G23,"GVCA",E2:E23,"0349",F2:F23,"00")</f>
        <v>51.953616000000004</v>
      </c>
      <c r="BK28" s="388">
        <f>SUMIFS(BK2:BK23,G2:G23,"GVCA",E2:E23,"0349",F2:F23,"00")</f>
        <v>0</v>
      </c>
      <c r="BL28" s="388">
        <f>SUMIFS(BL2:BL23,G2:G23,"GVCA",E2:E23,"0349",F2:F23,"00")</f>
        <v>3249.6199631999998</v>
      </c>
      <c r="BM28" s="388">
        <f>SUMIFS(BM2:BM23,G2:G23,"GVCA",E2:E23,"0349",F2:F23,"00")</f>
        <v>0</v>
      </c>
      <c r="BN28" s="388">
        <f>SUMIFS(BN2:BN23,G2:G23,"GVCA",E2:E23,"0349",F2:F23,"00")</f>
        <v>4125</v>
      </c>
      <c r="BO28" s="388">
        <f>SUMIFS(BO2:BO23,G2:G23,"GVCA",E2:E23,"0349",F2:F23,"00")</f>
        <v>0</v>
      </c>
      <c r="BP28" s="388">
        <f>SUMIFS(BP2:BP23,G2:G23,"GVCA",E2:E23,"0349",F2:F23,"00")</f>
        <v>976.09824000000003</v>
      </c>
      <c r="BQ28" s="388">
        <f>SUMIFS(BQ2:BQ23,G2:G23,"GVCA",E2:E23,"0349",F2:F23,"00")</f>
        <v>228.28104000000002</v>
      </c>
      <c r="BR28" s="388">
        <f>SUMIFS(BR2:BR23,G2:G23,"GVCA",E2:E23,"0349",F2:F23,"00")</f>
        <v>1760.125536</v>
      </c>
      <c r="BS28" s="388">
        <f>SUMIFS(BS2:BS23,G2:G23,"GVCA",E2:E23,"0349",F2:F23,"00")</f>
        <v>113.5107792</v>
      </c>
      <c r="BT28" s="388">
        <f>SUMIFS(BT2:BT23,G2:G23,"GVCA",E2:E23,"0349",F2:F23,"00")</f>
        <v>0</v>
      </c>
      <c r="BU28" s="388">
        <f>SUMIFS(BU2:BU23,G2:G23,"GVCA",E2:E23,"0349",F2:F23,"00")</f>
        <v>0</v>
      </c>
      <c r="BV28" s="388">
        <f>SUMIFS(BV2:BV23,G2:G23,"GVCA",E2:E23,"0349",F2:F23,"00")</f>
        <v>34.635744000000003</v>
      </c>
      <c r="BW28" s="388">
        <f>SUMIFS(BW2:BW23,G2:G23,"GVCA",E2:E23,"0349",F2:F23,"00")</f>
        <v>0</v>
      </c>
      <c r="BX28" s="388">
        <f>SUMIFS(BX2:BX23,G2:G23,"GVCA",E2:E23,"0349",F2:F23,"00")</f>
        <v>3112.6513392000002</v>
      </c>
      <c r="BY28" s="388">
        <f>SUMIFS(BY2:BY23,G2:G23,"GVCA",E2:E23,"0349",F2:F23,"00")</f>
        <v>0</v>
      </c>
      <c r="BZ28" s="388">
        <f>SUMIFS(BZ2:BZ23,G2:G23,"GVCA",E2:E23,"0349",F2:F23,"00")</f>
        <v>375</v>
      </c>
      <c r="CA28" s="388">
        <f>SUMIFS(CA2:CA23,G2:G23,"GVCA",E2:E23,"0349",F2:F23,"00")</f>
        <v>0</v>
      </c>
      <c r="CB28" s="388">
        <f>SUMIFS(CB2:CB23,G2:G23,"GVCA",E2:E23,"0349",F2:F23,"00")</f>
        <v>0</v>
      </c>
      <c r="CC28" s="388">
        <f>SUMIFS(CC2:CC23,G2:G23,"GVCA",E2:E23,"0349",F2:F23,"00")</f>
        <v>0</v>
      </c>
      <c r="CD28" s="388">
        <f>SUMIFS(CD2:CD23,G2:G23,"GVCA",E2:E23,"0349",F2:F23,"00")</f>
        <v>-119.65075200000015</v>
      </c>
      <c r="CE28" s="388">
        <f>SUMIFS(CE2:CE23,G2:G23,"GVCA",E2:E23,"0349",F2:F23,"00")</f>
        <v>0</v>
      </c>
      <c r="CF28" s="388">
        <f>SUMIFS(CF2:CF23,G2:G23,"GVCA",E2:E23,"0349",F2:F23,"00")</f>
        <v>0</v>
      </c>
      <c r="CG28" s="388">
        <f>SUMIFS(CG2:CG23,G2:G23,"GVCA",E2:E23,"0349",F2:F23,"00")</f>
        <v>0</v>
      </c>
      <c r="CH28" s="388">
        <f>SUMIFS(CH2:CH23,G2:G23,"GVCA",E2:E23,"0349",F2:F23,"00")</f>
        <v>-17.317871999999998</v>
      </c>
      <c r="CI28" s="388">
        <f>SUMIFS(CI2:CI23,G2:G23,"GVCA",E2:E23,"0349",F2:F23,"00")</f>
        <v>0</v>
      </c>
      <c r="CJ28" s="388">
        <f>SUMIFS(CJ2:CJ23,G2:G23,"GVCA",E2:E23,"0349",F2:F23,"00")</f>
        <v>-136.96862400000015</v>
      </c>
      <c r="CK28" s="388">
        <f>SUMIFS(CK2:CK23,G2:G23,"GVCA",E2:E23,"0349",F2:F23,"00")</f>
        <v>0</v>
      </c>
      <c r="CL28" s="388">
        <f>SUMIFS(CL2:CL23,G2:G23,"GVCA",E2:E23,"0349",F2:F23,"00")</f>
        <v>0</v>
      </c>
      <c r="CM28" s="388">
        <f>SUMIFS(CM2:CM23,G2:G23,"GVCA",E2:E23,"0349",F2:F23,"00")</f>
        <v>0</v>
      </c>
    </row>
    <row r="29" spans="1:92" ht="18.75" x14ac:dyDescent="0.3">
      <c r="AQ29" s="394" t="s">
        <v>366</v>
      </c>
      <c r="AS29" s="395">
        <f t="shared" ref="AS29:CM29" si="45">SUM(AS28:AS28)</f>
        <v>0.3</v>
      </c>
      <c r="AT29" s="395">
        <f t="shared" si="45"/>
        <v>0</v>
      </c>
      <c r="AU29" s="395">
        <f t="shared" si="45"/>
        <v>1</v>
      </c>
      <c r="AV29" s="395">
        <f t="shared" si="45"/>
        <v>0</v>
      </c>
      <c r="AW29" s="395">
        <f t="shared" si="45"/>
        <v>2</v>
      </c>
      <c r="AX29" s="395">
        <f t="shared" si="45"/>
        <v>52478.399999999994</v>
      </c>
      <c r="AY29" s="395">
        <f t="shared" si="45"/>
        <v>15743.52</v>
      </c>
      <c r="AZ29" s="395">
        <f t="shared" si="45"/>
        <v>0</v>
      </c>
      <c r="BA29" s="395">
        <f t="shared" si="45"/>
        <v>0</v>
      </c>
      <c r="BB29" s="395">
        <f t="shared" si="45"/>
        <v>3750</v>
      </c>
      <c r="BC29" s="395">
        <f t="shared" si="45"/>
        <v>0</v>
      </c>
      <c r="BD29" s="395">
        <f t="shared" si="45"/>
        <v>976.09824000000003</v>
      </c>
      <c r="BE29" s="395">
        <f t="shared" si="45"/>
        <v>228.28104000000002</v>
      </c>
      <c r="BF29" s="395">
        <f t="shared" si="45"/>
        <v>1879.7762880000002</v>
      </c>
      <c r="BG29" s="395">
        <f t="shared" si="45"/>
        <v>113.5107792</v>
      </c>
      <c r="BH29" s="395">
        <f t="shared" si="45"/>
        <v>0</v>
      </c>
      <c r="BI29" s="395">
        <f t="shared" si="45"/>
        <v>0</v>
      </c>
      <c r="BJ29" s="395">
        <f t="shared" si="45"/>
        <v>51.953616000000004</v>
      </c>
      <c r="BK29" s="395">
        <f t="shared" si="45"/>
        <v>0</v>
      </c>
      <c r="BL29" s="395">
        <f t="shared" si="45"/>
        <v>3249.6199631999998</v>
      </c>
      <c r="BM29" s="395">
        <f t="shared" si="45"/>
        <v>0</v>
      </c>
      <c r="BN29" s="395">
        <f t="shared" si="45"/>
        <v>4125</v>
      </c>
      <c r="BO29" s="395">
        <f t="shared" si="45"/>
        <v>0</v>
      </c>
      <c r="BP29" s="395">
        <f t="shared" si="45"/>
        <v>976.09824000000003</v>
      </c>
      <c r="BQ29" s="395">
        <f t="shared" si="45"/>
        <v>228.28104000000002</v>
      </c>
      <c r="BR29" s="395">
        <f t="shared" si="45"/>
        <v>1760.125536</v>
      </c>
      <c r="BS29" s="395">
        <f t="shared" si="45"/>
        <v>113.5107792</v>
      </c>
      <c r="BT29" s="395">
        <f t="shared" si="45"/>
        <v>0</v>
      </c>
      <c r="BU29" s="395">
        <f t="shared" si="45"/>
        <v>0</v>
      </c>
      <c r="BV29" s="395">
        <f t="shared" si="45"/>
        <v>34.635744000000003</v>
      </c>
      <c r="BW29" s="395">
        <f t="shared" si="45"/>
        <v>0</v>
      </c>
      <c r="BX29" s="395">
        <f t="shared" si="45"/>
        <v>3112.6513392000002</v>
      </c>
      <c r="BY29" s="395">
        <f t="shared" si="45"/>
        <v>0</v>
      </c>
      <c r="BZ29" s="395">
        <f t="shared" si="45"/>
        <v>375</v>
      </c>
      <c r="CA29" s="395">
        <f t="shared" si="45"/>
        <v>0</v>
      </c>
      <c r="CB29" s="395">
        <f t="shared" si="45"/>
        <v>0</v>
      </c>
      <c r="CC29" s="395">
        <f t="shared" si="45"/>
        <v>0</v>
      </c>
      <c r="CD29" s="395">
        <f t="shared" si="45"/>
        <v>-119.65075200000015</v>
      </c>
      <c r="CE29" s="395">
        <f t="shared" si="45"/>
        <v>0</v>
      </c>
      <c r="CF29" s="395">
        <f t="shared" si="45"/>
        <v>0</v>
      </c>
      <c r="CG29" s="395">
        <f t="shared" si="45"/>
        <v>0</v>
      </c>
      <c r="CH29" s="395">
        <f t="shared" si="45"/>
        <v>-17.317871999999998</v>
      </c>
      <c r="CI29" s="395">
        <f t="shared" si="45"/>
        <v>0</v>
      </c>
      <c r="CJ29" s="395">
        <f t="shared" si="45"/>
        <v>-136.96862400000015</v>
      </c>
      <c r="CK29" s="395">
        <f t="shared" si="45"/>
        <v>0</v>
      </c>
      <c r="CL29" s="395">
        <f t="shared" si="45"/>
        <v>0</v>
      </c>
      <c r="CM29" s="395">
        <f t="shared" si="45"/>
        <v>0</v>
      </c>
    </row>
    <row r="30" spans="1:92" ht="15.75" thickBot="1" x14ac:dyDescent="0.3">
      <c r="AR30" t="s">
        <v>371</v>
      </c>
      <c r="AS30" s="388">
        <f>SUMIFS(AS2:AS23,G2:G23,"GVCA",E2:E23,"0475",F2:F23,"05",AT2:AT23,1)</f>
        <v>2</v>
      </c>
      <c r="AT30" s="388">
        <f>SUMIFS(AS2:AS23,G2:G23,"GVCA",E2:E23,"0475",F2:F23,"05",AT2:AT23,3)</f>
        <v>0</v>
      </c>
      <c r="AU30" s="388">
        <f>SUMIFS(AU2:AU23,G2:G23,"GVCA",E2:E23,"0475",F2:F23,"05")</f>
        <v>2</v>
      </c>
      <c r="AV30" s="388">
        <f>SUMIFS(AV2:AV23,G2:G23,"GVCA",E2:E23,"0475",F2:F23,"05")</f>
        <v>0</v>
      </c>
      <c r="AW30" s="388">
        <f>SUMIFS(AW2:AW23,G2:G23,"GVCA",E2:E23,"0475",F2:F23,"05")</f>
        <v>2</v>
      </c>
      <c r="AX30" s="388">
        <f>SUMIFS(AX2:AX23,G2:G23,"GVCA",E2:E23,"0475",F2:F23,"05")</f>
        <v>141544</v>
      </c>
      <c r="AY30" s="388">
        <f>SUMIFS(AY2:AY23,G2:G23,"GVCA",E2:E23,"0475",F2:F23,"05")</f>
        <v>141544</v>
      </c>
      <c r="AZ30" s="388">
        <f>SUMIFS(AZ2:AZ23,G2:G23,"GVCA",E2:E23,"0475",F2:F23,"05")</f>
        <v>0</v>
      </c>
      <c r="BA30" s="388">
        <f>SUMIFS(BA2:BA23,G2:G23,"GVCA",E2:E23,"0475",F2:F23,"05")</f>
        <v>0</v>
      </c>
      <c r="BB30" s="388">
        <f>SUMIFS(BB2:BB23,G2:G23,"GVCA",E2:E23,"0475",F2:F23,"05")</f>
        <v>25000</v>
      </c>
      <c r="BC30" s="388">
        <f>SUMIFS(BC2:BC23,G2:G23,"GVCA",E2:E23,"0475",F2:F23,"05")</f>
        <v>0</v>
      </c>
      <c r="BD30" s="388">
        <f>SUMIFS(BD2:BD23,G2:G23,"GVCA",E2:E23,"0475",F2:F23,"05")</f>
        <v>8775.7279999999992</v>
      </c>
      <c r="BE30" s="388">
        <f>SUMIFS(BE2:BE23,G2:G23,"GVCA",E2:E23,"0475",F2:F23,"05")</f>
        <v>2052.3879999999999</v>
      </c>
      <c r="BF30" s="388">
        <f>SUMIFS(BF2:BF23,G2:G23,"GVCA",E2:E23,"0475",F2:F23,"05")</f>
        <v>16900.353600000002</v>
      </c>
      <c r="BG30" s="388">
        <f>SUMIFS(BG2:BG23,G2:G23,"GVCA",E2:E23,"0475",F2:F23,"05")</f>
        <v>1020.53224</v>
      </c>
      <c r="BH30" s="388">
        <f>SUMIFS(BH2:BH23,G2:G23,"GVCA",E2:E23,"0475",F2:F23,"05")</f>
        <v>0</v>
      </c>
      <c r="BI30" s="388">
        <f>SUMIFS(BI2:BI23,G2:G23,"GVCA",E2:E23,"0475",F2:F23,"05")</f>
        <v>0</v>
      </c>
      <c r="BJ30" s="388">
        <f>SUMIFS(BJ2:BJ23,G2:G23,"GVCA",E2:E23,"0475",F2:F23,"05")</f>
        <v>467.09519999999998</v>
      </c>
      <c r="BK30" s="388">
        <f>SUMIFS(BK2:BK23,G2:G23,"GVCA",E2:E23,"0475",F2:F23,"05")</f>
        <v>0</v>
      </c>
      <c r="BL30" s="388">
        <f>SUMIFS(BL2:BL23,G2:G23,"GVCA",E2:E23,"0475",F2:F23,"05")</f>
        <v>29216.097040000001</v>
      </c>
      <c r="BM30" s="388">
        <f>SUMIFS(BM2:BM23,G2:G23,"GVCA",E2:E23,"0475",F2:F23,"05")</f>
        <v>0</v>
      </c>
      <c r="BN30" s="388">
        <f>SUMIFS(BN2:BN23,G2:G23,"GVCA",E2:E23,"0475",F2:F23,"05")</f>
        <v>27500</v>
      </c>
      <c r="BO30" s="388">
        <f>SUMIFS(BO2:BO23,G2:G23,"GVCA",E2:E23,"0475",F2:F23,"05")</f>
        <v>0</v>
      </c>
      <c r="BP30" s="388">
        <f>SUMIFS(BP2:BP23,G2:G23,"GVCA",E2:E23,"0475",F2:F23,"05")</f>
        <v>8775.7279999999992</v>
      </c>
      <c r="BQ30" s="388">
        <f>SUMIFS(BQ2:BQ23,G2:G23,"GVCA",E2:E23,"0475",F2:F23,"05")</f>
        <v>2052.3879999999999</v>
      </c>
      <c r="BR30" s="388">
        <f>SUMIFS(BR2:BR23,G2:G23,"GVCA",E2:E23,"0475",F2:F23,"05")</f>
        <v>15824.619200000001</v>
      </c>
      <c r="BS30" s="388">
        <f>SUMIFS(BS2:BS23,G2:G23,"GVCA",E2:E23,"0475",F2:F23,"05")</f>
        <v>1020.53224</v>
      </c>
      <c r="BT30" s="388">
        <f>SUMIFS(BT2:BT23,G2:G23,"GVCA",E2:E23,"0475",F2:F23,"05")</f>
        <v>0</v>
      </c>
      <c r="BU30" s="388">
        <f>SUMIFS(BU2:BU23,G2:G23,"GVCA",E2:E23,"0475",F2:F23,"05")</f>
        <v>0</v>
      </c>
      <c r="BV30" s="388">
        <f>SUMIFS(BV2:BV23,G2:G23,"GVCA",E2:E23,"0475",F2:F23,"05")</f>
        <v>311.39679999999998</v>
      </c>
      <c r="BW30" s="388">
        <f>SUMIFS(BW2:BW23,G2:G23,"GVCA",E2:E23,"0475",F2:F23,"05")</f>
        <v>0</v>
      </c>
      <c r="BX30" s="388">
        <f>SUMIFS(BX2:BX23,G2:G23,"GVCA",E2:E23,"0475",F2:F23,"05")</f>
        <v>27984.664239999998</v>
      </c>
      <c r="BY30" s="388">
        <f>SUMIFS(BY2:BY23,G2:G23,"GVCA",E2:E23,"0475",F2:F23,"05")</f>
        <v>0</v>
      </c>
      <c r="BZ30" s="388">
        <f>SUMIFS(BZ2:BZ23,G2:G23,"GVCA",E2:E23,"0475",F2:F23,"05")</f>
        <v>2500</v>
      </c>
      <c r="CA30" s="388">
        <f>SUMIFS(CA2:CA23,G2:G23,"GVCA",E2:E23,"0475",F2:F23,"05")</f>
        <v>0</v>
      </c>
      <c r="CB30" s="388">
        <f>SUMIFS(CB2:CB23,G2:G23,"GVCA",E2:E23,"0475",F2:F23,"05")</f>
        <v>0</v>
      </c>
      <c r="CC30" s="388">
        <f>SUMIFS(CC2:CC23,G2:G23,"GVCA",E2:E23,"0475",F2:F23,"05")</f>
        <v>0</v>
      </c>
      <c r="CD30" s="388">
        <f>SUMIFS(CD2:CD23,G2:G23,"GVCA",E2:E23,"0475",F2:F23,"05")</f>
        <v>-1075.7344000000014</v>
      </c>
      <c r="CE30" s="388">
        <f>SUMIFS(CE2:CE23,G2:G23,"GVCA",E2:E23,"0475",F2:F23,"05")</f>
        <v>0</v>
      </c>
      <c r="CF30" s="388">
        <f>SUMIFS(CF2:CF23,G2:G23,"GVCA",E2:E23,"0475",F2:F23,"05")</f>
        <v>0</v>
      </c>
      <c r="CG30" s="388">
        <f>SUMIFS(CG2:CG23,G2:G23,"GVCA",E2:E23,"0475",F2:F23,"05")</f>
        <v>0</v>
      </c>
      <c r="CH30" s="388">
        <f>SUMIFS(CH2:CH23,G2:G23,"GVCA",E2:E23,"0475",F2:F23,"05")</f>
        <v>-155.69839999999999</v>
      </c>
      <c r="CI30" s="388">
        <f>SUMIFS(CI2:CI23,G2:G23,"GVCA",E2:E23,"0475",F2:F23,"05")</f>
        <v>0</v>
      </c>
      <c r="CJ30" s="388">
        <f>SUMIFS(CJ2:CJ23,G2:G23,"GVCA",E2:E23,"0475",F2:F23,"05")</f>
        <v>-1231.4328000000014</v>
      </c>
      <c r="CK30" s="388">
        <f>SUMIFS(CK2:CK23,G2:G23,"GVCA",E2:E23,"0475",F2:F23,"05")</f>
        <v>0</v>
      </c>
      <c r="CL30" s="388">
        <f>SUMIFS(CL2:CL23,G2:G23,"GVCA",E2:E23,"0475",F2:F23,"05")</f>
        <v>0</v>
      </c>
      <c r="CM30" s="388">
        <f>SUMIFS(CM2:CM23,G2:G23,"GVCA",E2:E23,"0475",F2:F23,"05")</f>
        <v>0</v>
      </c>
    </row>
    <row r="31" spans="1:92" ht="18.75" x14ac:dyDescent="0.3">
      <c r="AQ31" s="394" t="s">
        <v>372</v>
      </c>
      <c r="AS31" s="395">
        <f t="shared" ref="AS31:CM31" si="46">SUM(AS30:AS30)</f>
        <v>2</v>
      </c>
      <c r="AT31" s="395">
        <f t="shared" si="46"/>
        <v>0</v>
      </c>
      <c r="AU31" s="395">
        <f t="shared" si="46"/>
        <v>2</v>
      </c>
      <c r="AV31" s="395">
        <f t="shared" si="46"/>
        <v>0</v>
      </c>
      <c r="AW31" s="395">
        <f t="shared" si="46"/>
        <v>2</v>
      </c>
      <c r="AX31" s="395">
        <f t="shared" si="46"/>
        <v>141544</v>
      </c>
      <c r="AY31" s="395">
        <f t="shared" si="46"/>
        <v>141544</v>
      </c>
      <c r="AZ31" s="395">
        <f t="shared" si="46"/>
        <v>0</v>
      </c>
      <c r="BA31" s="395">
        <f t="shared" si="46"/>
        <v>0</v>
      </c>
      <c r="BB31" s="395">
        <f t="shared" si="46"/>
        <v>25000</v>
      </c>
      <c r="BC31" s="395">
        <f t="shared" si="46"/>
        <v>0</v>
      </c>
      <c r="BD31" s="395">
        <f t="shared" si="46"/>
        <v>8775.7279999999992</v>
      </c>
      <c r="BE31" s="395">
        <f t="shared" si="46"/>
        <v>2052.3879999999999</v>
      </c>
      <c r="BF31" s="395">
        <f t="shared" si="46"/>
        <v>16900.353600000002</v>
      </c>
      <c r="BG31" s="395">
        <f t="shared" si="46"/>
        <v>1020.53224</v>
      </c>
      <c r="BH31" s="395">
        <f t="shared" si="46"/>
        <v>0</v>
      </c>
      <c r="BI31" s="395">
        <f t="shared" si="46"/>
        <v>0</v>
      </c>
      <c r="BJ31" s="395">
        <f t="shared" si="46"/>
        <v>467.09519999999998</v>
      </c>
      <c r="BK31" s="395">
        <f t="shared" si="46"/>
        <v>0</v>
      </c>
      <c r="BL31" s="395">
        <f t="shared" si="46"/>
        <v>29216.097040000001</v>
      </c>
      <c r="BM31" s="395">
        <f t="shared" si="46"/>
        <v>0</v>
      </c>
      <c r="BN31" s="395">
        <f t="shared" si="46"/>
        <v>27500</v>
      </c>
      <c r="BO31" s="395">
        <f t="shared" si="46"/>
        <v>0</v>
      </c>
      <c r="BP31" s="395">
        <f t="shared" si="46"/>
        <v>8775.7279999999992</v>
      </c>
      <c r="BQ31" s="395">
        <f t="shared" si="46"/>
        <v>2052.3879999999999</v>
      </c>
      <c r="BR31" s="395">
        <f t="shared" si="46"/>
        <v>15824.619200000001</v>
      </c>
      <c r="BS31" s="395">
        <f t="shared" si="46"/>
        <v>1020.53224</v>
      </c>
      <c r="BT31" s="395">
        <f t="shared" si="46"/>
        <v>0</v>
      </c>
      <c r="BU31" s="395">
        <f t="shared" si="46"/>
        <v>0</v>
      </c>
      <c r="BV31" s="395">
        <f t="shared" si="46"/>
        <v>311.39679999999998</v>
      </c>
      <c r="BW31" s="395">
        <f t="shared" si="46"/>
        <v>0</v>
      </c>
      <c r="BX31" s="395">
        <f t="shared" si="46"/>
        <v>27984.664239999998</v>
      </c>
      <c r="BY31" s="395">
        <f t="shared" si="46"/>
        <v>0</v>
      </c>
      <c r="BZ31" s="395">
        <f t="shared" si="46"/>
        <v>2500</v>
      </c>
      <c r="CA31" s="395">
        <f t="shared" si="46"/>
        <v>0</v>
      </c>
      <c r="CB31" s="395">
        <f t="shared" si="46"/>
        <v>0</v>
      </c>
      <c r="CC31" s="395">
        <f t="shared" si="46"/>
        <v>0</v>
      </c>
      <c r="CD31" s="395">
        <f t="shared" si="46"/>
        <v>-1075.7344000000014</v>
      </c>
      <c r="CE31" s="395">
        <f t="shared" si="46"/>
        <v>0</v>
      </c>
      <c r="CF31" s="395">
        <f t="shared" si="46"/>
        <v>0</v>
      </c>
      <c r="CG31" s="395">
        <f t="shared" si="46"/>
        <v>0</v>
      </c>
      <c r="CH31" s="395">
        <f t="shared" si="46"/>
        <v>-155.69839999999999</v>
      </c>
      <c r="CI31" s="395">
        <f t="shared" si="46"/>
        <v>0</v>
      </c>
      <c r="CJ31" s="395">
        <f t="shared" si="46"/>
        <v>-1231.4328000000014</v>
      </c>
      <c r="CK31" s="395">
        <f t="shared" si="46"/>
        <v>0</v>
      </c>
      <c r="CL31" s="395">
        <f t="shared" si="46"/>
        <v>0</v>
      </c>
      <c r="CM31" s="395">
        <f t="shared" si="46"/>
        <v>0</v>
      </c>
    </row>
    <row r="32" spans="1:92" x14ac:dyDescent="0.25"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</row>
    <row r="33" spans="41:53" ht="21" x14ac:dyDescent="0.35">
      <c r="AO33" s="251" t="s">
        <v>95</v>
      </c>
      <c r="AP33" s="251"/>
      <c r="AQ33" s="251"/>
    </row>
    <row r="35" spans="41:53" ht="21" x14ac:dyDescent="0.35">
      <c r="AO35" s="252"/>
      <c r="AP35" s="252"/>
      <c r="AQ35" s="252"/>
    </row>
    <row r="36" spans="41:53" ht="15.75" x14ac:dyDescent="0.25">
      <c r="AS36" s="374" t="s">
        <v>81</v>
      </c>
      <c r="AT36" s="486" t="s">
        <v>380</v>
      </c>
      <c r="AU36" s="486"/>
      <c r="AV36" s="487" t="s">
        <v>378</v>
      </c>
      <c r="AW36" s="486" t="s">
        <v>381</v>
      </c>
      <c r="AX36" s="486"/>
      <c r="AY36" s="487" t="s">
        <v>379</v>
      </c>
      <c r="AZ36" s="486" t="s">
        <v>382</v>
      </c>
      <c r="BA36" s="486"/>
    </row>
    <row r="37" spans="41:53" ht="15.75" x14ac:dyDescent="0.25">
      <c r="AS37" s="249"/>
      <c r="AT37" s="374" t="s">
        <v>92</v>
      </c>
      <c r="AU37" s="373" t="s">
        <v>94</v>
      </c>
      <c r="AV37" s="488"/>
      <c r="AW37" s="374" t="s">
        <v>96</v>
      </c>
      <c r="AX37" s="373" t="s">
        <v>93</v>
      </c>
      <c r="AY37" s="488"/>
      <c r="AZ37" s="374" t="s">
        <v>96</v>
      </c>
      <c r="BA37" s="373" t="s">
        <v>93</v>
      </c>
    </row>
    <row r="38" spans="41:53" x14ac:dyDescent="0.25">
      <c r="AO38" s="393" t="s">
        <v>383</v>
      </c>
    </row>
    <row r="39" spans="41:53" x14ac:dyDescent="0.25">
      <c r="AQ39" t="s">
        <v>362</v>
      </c>
      <c r="AS39" s="388">
        <f>SUM(SUMIFS(AS2:AS23,CN2:CN23,AQ39,E2:E23,"0001",F2:F23,"00",AT2:AT23,{1,3}))</f>
        <v>14.7</v>
      </c>
      <c r="AT39" s="388">
        <f>SUMPRODUCT(--(CN2:CN23=AQ39),--(N2:N23&lt;&gt;"NG"),--(AG2:AG23&lt;&gt;"D"),--(AR2:AR23&lt;&gt;6),--(AR2:AR23&lt;&gt;36),--(AR2:AR23&lt;&gt;56),T2:T23)+SUMPRODUCT(--(CN2:CN23=AQ39),--(N2:N23&lt;&gt;"NG"),--(AG2:AG23&lt;&gt;"D"),--(AR2:AR23&lt;&gt;6),--(AR2:AR23&lt;&gt;36),--(AR2:AR23&lt;&gt;56),U2:U23)</f>
        <v>1212668.9400000002</v>
      </c>
      <c r="AU39" s="388">
        <f>SUMPRODUCT(--(CN2:CN23=AQ39),--(N2:N23&lt;&gt;"NG"),--(AG2:AG23&lt;&gt;"D"),--(AR2:AR23&lt;&gt;6),--(AR2:AR23&lt;&gt;36),--(AR2:AR23&lt;&gt;56),V2:V23)</f>
        <v>418274.50999999995</v>
      </c>
      <c r="AV39" s="388">
        <f>SUMPRODUCT(--(CN2:CN23=AQ39),AY2:AY23)+SUMPRODUCT(--(CN2:CN23=AQ39),AZ2:AZ23)</f>
        <v>1320926.8800000001</v>
      </c>
      <c r="AW39" s="388">
        <f>SUMPRODUCT(--(CN2:CN23=AQ39),BB2:BB23)+SUMPRODUCT(--(CN2:CN23=AQ39),BC2:BC23)</f>
        <v>183750</v>
      </c>
      <c r="AX39" s="388">
        <f>SUMPRODUCT(--(CN2:CN23=AQ39),BL2:BL23)+SUMPRODUCT(--(CN2:CN23=AQ39),BM2:BM23)</f>
        <v>271395.65330080007</v>
      </c>
      <c r="AY39" s="388">
        <f>SUMPRODUCT(--(CN2:CN23=AQ39),AY2:AY23)+SUMPRODUCT(--(CN2:CN23=AQ39),AZ2:AZ23)+SUMPRODUCT(--(CN2:CN23=AQ39),BA2:BA23)</f>
        <v>1320926.8800000001</v>
      </c>
      <c r="AZ39" s="388">
        <f>SUMPRODUCT(--(CN2:CN23=AQ39),BN2:BN23)+SUMPRODUCT(--(CN2:CN23=AQ39),BO2:BO23)</f>
        <v>202125</v>
      </c>
      <c r="BA39" s="388">
        <f>SUMPRODUCT(--(CN2:CN23=AQ39),BX2:BX23)+SUMPRODUCT(--(CN2:CN23=AQ39),BY2:BY23)</f>
        <v>260163.98944480001</v>
      </c>
    </row>
    <row r="40" spans="41:53" x14ac:dyDescent="0.25">
      <c r="AP40" t="s">
        <v>384</v>
      </c>
      <c r="AS40" s="399">
        <f t="shared" ref="AS40:BA40" si="47">SUM(AS39:AS39)</f>
        <v>14.7</v>
      </c>
      <c r="AT40" s="399">
        <f t="shared" si="47"/>
        <v>1212668.9400000002</v>
      </c>
      <c r="AU40" s="399">
        <f t="shared" si="47"/>
        <v>418274.50999999995</v>
      </c>
      <c r="AV40" s="399">
        <f t="shared" si="47"/>
        <v>1320926.8800000001</v>
      </c>
      <c r="AW40" s="399">
        <f t="shared" si="47"/>
        <v>183750</v>
      </c>
      <c r="AX40" s="399">
        <f t="shared" si="47"/>
        <v>271395.65330080007</v>
      </c>
      <c r="AY40" s="399">
        <f t="shared" si="47"/>
        <v>1320926.8800000001</v>
      </c>
      <c r="AZ40" s="399">
        <f t="shared" si="47"/>
        <v>202125</v>
      </c>
      <c r="BA40" s="399">
        <f t="shared" si="47"/>
        <v>260163.98944480001</v>
      </c>
    </row>
    <row r="41" spans="41:53" x14ac:dyDescent="0.25">
      <c r="AQ41" t="s">
        <v>368</v>
      </c>
      <c r="AS41" s="388">
        <f>SUM(SUMIFS(AS2:AS23,CN2:CN23,AQ41,E2:E23,"0349",F2:F23,"00",AT2:AT23,{1,3}))</f>
        <v>0.3</v>
      </c>
      <c r="AT41" s="388">
        <f>SUMPRODUCT(--(CN2:CN23=AQ41),--(N2:N23&lt;&gt;"NG"),--(AG2:AG23&lt;&gt;"D"),--(AR2:AR23&lt;&gt;6),--(AR2:AR23&lt;&gt;36),--(AR2:AR23&lt;&gt;56),T2:T23)+SUMPRODUCT(--(CN2:CN23=AQ41),--(N2:N23&lt;&gt;"NG"),--(AG2:AG23&lt;&gt;"D"),--(AR2:AR23&lt;&gt;6),--(AR2:AR23&lt;&gt;36),--(AR2:AR23&lt;&gt;56),U2:U23)</f>
        <v>14614.56</v>
      </c>
      <c r="AU41" s="388">
        <f>SUMPRODUCT(--(CN2:CN23=AQ41),--(N2:N23&lt;&gt;"NG"),--(AG2:AG23&lt;&gt;"D"),--(AR2:AR23&lt;&gt;6),--(AR2:AR23&lt;&gt;36),--(AR2:AR23&lt;&gt;56),V2:V23)</f>
        <v>6432.79</v>
      </c>
      <c r="AV41" s="388">
        <f>SUMPRODUCT(--(CN2:CN23=AQ41),AY2:AY23)+SUMPRODUCT(--(CN2:CN23=AQ41),AZ2:AZ23)</f>
        <v>15743.52</v>
      </c>
      <c r="AW41" s="388">
        <f>SUMPRODUCT(--(CN2:CN23=AQ41),BB2:BB23)+SUMPRODUCT(--(CN2:CN23=AQ41),BC2:BC23)</f>
        <v>3750</v>
      </c>
      <c r="AX41" s="388">
        <f>SUMPRODUCT(--(CN2:CN23=AQ41),BL2:BL23)+SUMPRODUCT(--(CN2:CN23=AQ41),BM2:BM23)</f>
        <v>3249.6199631999998</v>
      </c>
      <c r="AY41" s="388">
        <f>SUMPRODUCT(--(CN2:CN23=AQ41),AY2:AY23)+SUMPRODUCT(--(CN2:CN23=AQ41),AZ2:AZ23)+SUMPRODUCT(--(CN2:CN23=AQ41),BA2:BA23)</f>
        <v>15743.52</v>
      </c>
      <c r="AZ41" s="388">
        <f>SUMPRODUCT(--(CN2:CN23=AQ41),BN2:BN23)+SUMPRODUCT(--(CN2:CN23=AQ41),BO2:BO23)</f>
        <v>4125</v>
      </c>
      <c r="BA41" s="388">
        <f>SUMPRODUCT(--(CN2:CN23=AQ41),BX2:BX23)+SUMPRODUCT(--(CN2:CN23=AQ41),BY2:BY23)</f>
        <v>3112.6513392000002</v>
      </c>
    </row>
    <row r="42" spans="41:53" x14ac:dyDescent="0.25">
      <c r="AP42" t="s">
        <v>385</v>
      </c>
      <c r="AS42" s="399">
        <f t="shared" ref="AS42:BA42" si="48">SUM(AS41:AS41)</f>
        <v>0.3</v>
      </c>
      <c r="AT42" s="399">
        <f t="shared" si="48"/>
        <v>14614.56</v>
      </c>
      <c r="AU42" s="399">
        <f t="shared" si="48"/>
        <v>6432.79</v>
      </c>
      <c r="AV42" s="399">
        <f t="shared" si="48"/>
        <v>15743.52</v>
      </c>
      <c r="AW42" s="399">
        <f t="shared" si="48"/>
        <v>3750</v>
      </c>
      <c r="AX42" s="399">
        <f t="shared" si="48"/>
        <v>3249.6199631999998</v>
      </c>
      <c r="AY42" s="399">
        <f t="shared" si="48"/>
        <v>15743.52</v>
      </c>
      <c r="AZ42" s="399">
        <f t="shared" si="48"/>
        <v>4125</v>
      </c>
      <c r="BA42" s="399">
        <f t="shared" si="48"/>
        <v>3112.6513392000002</v>
      </c>
    </row>
    <row r="43" spans="41:53" x14ac:dyDescent="0.25">
      <c r="AQ43" t="s">
        <v>374</v>
      </c>
      <c r="AS43" s="388">
        <f>SUM(SUMIFS(AS2:AS23,CN2:CN23,AQ43,E2:E23,"0475",F2:F23,"05",AT2:AT23,{1,3}))</f>
        <v>2</v>
      </c>
      <c r="AT43" s="388">
        <f>SUMPRODUCT(--(CN2:CN23=AQ43),--(N2:N23&lt;&gt;"NG"),--(AG2:AG23&lt;&gt;"D"),--(AR2:AR23&lt;&gt;6),--(AR2:AR23&lt;&gt;36),--(AR2:AR23&lt;&gt;56),T2:T23)+SUMPRODUCT(--(CN2:CN23=AQ43),--(N2:N23&lt;&gt;"NG"),--(AG2:AG23&lt;&gt;"D"),--(AR2:AR23&lt;&gt;6),--(AR2:AR23&lt;&gt;36),--(AR2:AR23&lt;&gt;56),U2:U23)</f>
        <v>187508.8</v>
      </c>
      <c r="AU43" s="388">
        <f>SUMPRODUCT(--(CN2:CN23=AQ43),--(N2:N23&lt;&gt;"NG"),--(AG2:AG23&lt;&gt;"D"),--(AR2:AR23&lt;&gt;6),--(AR2:AR23&lt;&gt;36),--(AR2:AR23&lt;&gt;56),V2:V23)</f>
        <v>68856.759999999995</v>
      </c>
      <c r="AV43" s="388">
        <f>SUMPRODUCT(--(CN2:CN23=AQ43),AY2:AY23)+SUMPRODUCT(--(CN2:CN23=AQ43),AZ2:AZ23)</f>
        <v>141544</v>
      </c>
      <c r="AW43" s="388">
        <f>SUMPRODUCT(--(CN2:CN23=AQ43),BB2:BB23)+SUMPRODUCT(--(CN2:CN23=AQ43),BC2:BC23)</f>
        <v>25000</v>
      </c>
      <c r="AX43" s="388">
        <f>SUMPRODUCT(--(CN2:CN23=AQ43),BL2:BL23)+SUMPRODUCT(--(CN2:CN23=AQ43),BM2:BM23)</f>
        <v>29216.097040000001</v>
      </c>
      <c r="AY43" s="388">
        <f>SUMPRODUCT(--(CN2:CN23=AQ43),AY2:AY23)+SUMPRODUCT(--(CN2:CN23=AQ43),AZ2:AZ23)+SUMPRODUCT(--(CN2:CN23=AQ43),BA2:BA23)</f>
        <v>141544</v>
      </c>
      <c r="AZ43" s="388">
        <f>SUMPRODUCT(--(CN2:CN23=AQ43),BN2:BN23)+SUMPRODUCT(--(CN2:CN23=AQ43),BO2:BO23)</f>
        <v>27500</v>
      </c>
      <c r="BA43" s="388">
        <f>SUMPRODUCT(--(CN2:CN23=AQ43),BX2:BX23)+SUMPRODUCT(--(CN2:CN23=AQ43),BY2:BY23)</f>
        <v>27984.664239999998</v>
      </c>
    </row>
    <row r="44" spans="41:53" x14ac:dyDescent="0.25">
      <c r="AP44" t="s">
        <v>386</v>
      </c>
      <c r="AS44" s="399">
        <f t="shared" ref="AS44:BA44" si="49">SUM(AS43:AS43)</f>
        <v>2</v>
      </c>
      <c r="AT44" s="399">
        <f t="shared" si="49"/>
        <v>187508.8</v>
      </c>
      <c r="AU44" s="399">
        <f t="shared" si="49"/>
        <v>68856.759999999995</v>
      </c>
      <c r="AV44" s="399">
        <f t="shared" si="49"/>
        <v>141544</v>
      </c>
      <c r="AW44" s="399">
        <f t="shared" si="49"/>
        <v>25000</v>
      </c>
      <c r="AX44" s="399">
        <f t="shared" si="49"/>
        <v>29216.097040000001</v>
      </c>
      <c r="AY44" s="399">
        <f t="shared" si="49"/>
        <v>141544</v>
      </c>
      <c r="AZ44" s="399">
        <f t="shared" si="49"/>
        <v>27500</v>
      </c>
      <c r="BA44" s="399">
        <f t="shared" si="49"/>
        <v>27984.664239999998</v>
      </c>
    </row>
    <row r="45" spans="41:53" x14ac:dyDescent="0.25">
      <c r="AS45" s="388"/>
      <c r="AT45" s="388"/>
      <c r="AU45" s="388"/>
      <c r="AV45" s="388"/>
      <c r="AW45" s="388"/>
      <c r="AX45" s="388"/>
      <c r="AY45" s="388"/>
      <c r="AZ45" s="388"/>
      <c r="BA45" s="388"/>
    </row>
    <row r="46" spans="41:53" x14ac:dyDescent="0.25">
      <c r="AO46" s="397" t="s">
        <v>387</v>
      </c>
      <c r="AS46" s="400">
        <f t="shared" ref="AS46:BA46" si="50">SUM(AS40,AS42,AS44)</f>
        <v>17</v>
      </c>
      <c r="AT46" s="400">
        <f t="shared" si="50"/>
        <v>1414792.3000000003</v>
      </c>
      <c r="AU46" s="400">
        <f t="shared" si="50"/>
        <v>493564.05999999994</v>
      </c>
      <c r="AV46" s="400">
        <f t="shared" si="50"/>
        <v>1478214.4000000001</v>
      </c>
      <c r="AW46" s="400">
        <f t="shared" si="50"/>
        <v>212500</v>
      </c>
      <c r="AX46" s="400">
        <f t="shared" si="50"/>
        <v>303861.3703040001</v>
      </c>
      <c r="AY46" s="400">
        <f t="shared" si="50"/>
        <v>1478214.4000000001</v>
      </c>
      <c r="AZ46" s="400">
        <f t="shared" si="50"/>
        <v>233750</v>
      </c>
      <c r="BA46" s="400">
        <f t="shared" si="50"/>
        <v>291261.305024</v>
      </c>
    </row>
    <row r="47" spans="41:53" x14ac:dyDescent="0.25">
      <c r="AS47" s="388"/>
      <c r="AT47" s="388"/>
      <c r="AU47" s="388"/>
      <c r="AV47" s="388"/>
      <c r="AW47" s="388"/>
      <c r="AX47" s="388"/>
      <c r="AY47" s="388"/>
      <c r="AZ47" s="388"/>
      <c r="BA47" s="388"/>
    </row>
    <row r="48" spans="41:53" x14ac:dyDescent="0.25">
      <c r="AO48" s="393" t="s">
        <v>388</v>
      </c>
      <c r="AS48" s="388"/>
      <c r="AT48" s="388"/>
      <c r="AU48" s="388"/>
      <c r="AV48" s="388"/>
      <c r="AW48" s="388"/>
      <c r="AX48" s="388"/>
      <c r="AY48" s="388"/>
      <c r="AZ48" s="388"/>
      <c r="BA48" s="388"/>
    </row>
    <row r="49" spans="41:97" x14ac:dyDescent="0.25">
      <c r="AQ49" t="s">
        <v>362</v>
      </c>
      <c r="AS49" s="388"/>
      <c r="AT49" s="388">
        <f>SUMIF(CN2:CN23,AQ49,CL2:CL23)</f>
        <v>5005</v>
      </c>
      <c r="AU49" s="388">
        <f>SUMIF(CN2:CN23,AQ49,CM2:CM23)</f>
        <v>583.80999999999995</v>
      </c>
      <c r="AV49" s="388">
        <f>SUMIF(CN2:CN23,AQ49,CL2:CL23)</f>
        <v>5005</v>
      </c>
      <c r="AW49" s="388">
        <v>0</v>
      </c>
      <c r="AX49" s="388">
        <f>SUMIF(CN2:CN23,AQ49,CM2:CM23)</f>
        <v>583.80999999999995</v>
      </c>
      <c r="AY49" s="388">
        <f>SUMIF(CN2:CN23,AQ49,CL2:CL23)</f>
        <v>5005</v>
      </c>
      <c r="AZ49" s="388">
        <v>0</v>
      </c>
      <c r="BA49" s="388">
        <f>SUMIF(CN2:CN23,AQ49,CM2:CM23)</f>
        <v>583.80999999999995</v>
      </c>
    </row>
    <row r="50" spans="41:97" x14ac:dyDescent="0.25">
      <c r="AP50" t="s">
        <v>384</v>
      </c>
      <c r="AS50" s="399"/>
      <c r="AT50" s="399">
        <f t="shared" ref="AT50:BA50" si="51">SUM(AT49:AT49)</f>
        <v>5005</v>
      </c>
      <c r="AU50" s="399">
        <f t="shared" si="51"/>
        <v>583.80999999999995</v>
      </c>
      <c r="AV50" s="399">
        <f t="shared" si="51"/>
        <v>5005</v>
      </c>
      <c r="AW50" s="399">
        <f t="shared" si="51"/>
        <v>0</v>
      </c>
      <c r="AX50" s="399">
        <f t="shared" si="51"/>
        <v>583.80999999999995</v>
      </c>
      <c r="AY50" s="399">
        <f t="shared" si="51"/>
        <v>5005</v>
      </c>
      <c r="AZ50" s="399">
        <f t="shared" si="51"/>
        <v>0</v>
      </c>
      <c r="BA50" s="399">
        <f t="shared" si="51"/>
        <v>583.80999999999995</v>
      </c>
    </row>
    <row r="51" spans="41:97" x14ac:dyDescent="0.25">
      <c r="AS51" s="388"/>
      <c r="AT51" s="388"/>
      <c r="AU51" s="388"/>
      <c r="AV51" s="388"/>
      <c r="AW51" s="388"/>
      <c r="AX51" s="388"/>
      <c r="AY51" s="388"/>
      <c r="AZ51" s="388"/>
      <c r="BA51" s="388"/>
    </row>
    <row r="52" spans="41:97" x14ac:dyDescent="0.25">
      <c r="AO52" s="397" t="s">
        <v>389</v>
      </c>
      <c r="AS52" s="400">
        <f t="shared" ref="AS52:BA52" si="52">SUM(AS50)</f>
        <v>0</v>
      </c>
      <c r="AT52" s="400">
        <f t="shared" si="52"/>
        <v>5005</v>
      </c>
      <c r="AU52" s="400">
        <f t="shared" si="52"/>
        <v>583.80999999999995</v>
      </c>
      <c r="AV52" s="400">
        <f t="shared" si="52"/>
        <v>5005</v>
      </c>
      <c r="AW52" s="400">
        <f t="shared" si="52"/>
        <v>0</v>
      </c>
      <c r="AX52" s="400">
        <f t="shared" si="52"/>
        <v>583.80999999999995</v>
      </c>
      <c r="AY52" s="400">
        <f t="shared" si="52"/>
        <v>5005</v>
      </c>
      <c r="AZ52" s="400">
        <f t="shared" si="52"/>
        <v>0</v>
      </c>
      <c r="BA52" s="400">
        <f t="shared" si="52"/>
        <v>583.80999999999995</v>
      </c>
      <c r="CM52" s="393"/>
      <c r="CS52" s="393"/>
    </row>
    <row r="53" spans="41:97" x14ac:dyDescent="0.25">
      <c r="AS53" s="388"/>
      <c r="AT53" s="388"/>
      <c r="AU53" s="388"/>
      <c r="AV53" s="388"/>
      <c r="AW53" s="388"/>
      <c r="AX53" s="388"/>
      <c r="AY53" s="388"/>
      <c r="AZ53" s="388"/>
      <c r="BA53" s="388"/>
    </row>
    <row r="54" spans="41:97" x14ac:dyDescent="0.25">
      <c r="AO54" s="398" t="s">
        <v>390</v>
      </c>
      <c r="AS54" s="401">
        <f t="shared" ref="AS54:BA54" si="53">SUM(AS46,AS52)</f>
        <v>17</v>
      </c>
      <c r="AT54" s="402">
        <f t="shared" si="53"/>
        <v>1419797.3000000003</v>
      </c>
      <c r="AU54" s="402">
        <f t="shared" si="53"/>
        <v>494147.86999999994</v>
      </c>
      <c r="AV54" s="402">
        <f t="shared" si="53"/>
        <v>1483219.4000000001</v>
      </c>
      <c r="AW54" s="402">
        <f t="shared" si="53"/>
        <v>212500</v>
      </c>
      <c r="AX54" s="402">
        <f t="shared" si="53"/>
        <v>304445.1803040001</v>
      </c>
      <c r="AY54" s="402">
        <f t="shared" si="53"/>
        <v>1483219.4000000001</v>
      </c>
      <c r="AZ54" s="402">
        <f t="shared" si="53"/>
        <v>233750</v>
      </c>
      <c r="BA54" s="402">
        <f t="shared" si="53"/>
        <v>291845.115024</v>
      </c>
    </row>
  </sheetData>
  <mergeCells count="5">
    <mergeCell ref="AT36:AU36"/>
    <mergeCell ref="AV36:AV37"/>
    <mergeCell ref="AW36:AX36"/>
    <mergeCell ref="AY36:AY37"/>
    <mergeCell ref="AZ36:BA36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2" sqref="D12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9"/>
      <c r="B1" s="489"/>
      <c r="C1" s="489"/>
      <c r="D1" s="489"/>
      <c r="E1" s="489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3.3E-3</v>
      </c>
      <c r="D8" s="234">
        <v>2.2000000000000001E-3</v>
      </c>
      <c r="E8" s="314">
        <f t="shared" si="0"/>
        <v>-1.0999999999999998E-3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8.700999999999999E-2</v>
      </c>
      <c r="D12" s="234">
        <f>SUM(D5:D11)</f>
        <v>8.5909999999999986E-2</v>
      </c>
      <c r="E12" s="315">
        <f>D12-C12</f>
        <v>-1.1000000000000038E-3</v>
      </c>
      <c r="M12" s="320"/>
    </row>
    <row r="13" spans="1:15" x14ac:dyDescent="0.3">
      <c r="A13" s="3"/>
      <c r="B13" s="231" t="s">
        <v>9</v>
      </c>
      <c r="C13" s="226">
        <f>SUM(C5:C8)</f>
        <v>7.9799999999999996E-2</v>
      </c>
      <c r="D13" s="226">
        <f>SUM(D5:D8)</f>
        <v>7.8699999999999992E-2</v>
      </c>
      <c r="E13" s="313">
        <f t="shared" si="0"/>
        <v>-1.1000000000000038E-3</v>
      </c>
      <c r="F13" s="8"/>
    </row>
    <row r="14" spans="1:15" x14ac:dyDescent="0.3">
      <c r="A14" s="230"/>
      <c r="B14" s="232" t="s">
        <v>100</v>
      </c>
      <c r="C14" s="226">
        <f>SUM(C5:C6,C8:C9)</f>
        <v>8.700999999999999E-2</v>
      </c>
      <c r="D14" s="226">
        <f>SUM(D5:D6,D8:D9)</f>
        <v>8.5909999999999986E-2</v>
      </c>
      <c r="E14" s="313">
        <f>D14-C14</f>
        <v>-1.1000000000000038E-3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90" t="s">
        <v>108</v>
      </c>
      <c r="B28" s="490"/>
      <c r="C28" s="490"/>
      <c r="D28" s="490"/>
      <c r="E28" s="490"/>
    </row>
    <row r="29" spans="1:11" x14ac:dyDescent="0.3">
      <c r="A29" s="490" t="s">
        <v>109</v>
      </c>
      <c r="B29" s="490"/>
      <c r="C29" s="490"/>
      <c r="D29" s="490"/>
      <c r="E29" s="490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16"/>
      <c r="N1" s="417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18"/>
      <c r="N2" s="419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16"/>
      <c r="N3" s="417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16">
        <v>2024</v>
      </c>
      <c r="N4" s="417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8"/>
      <c r="J5" s="420"/>
      <c r="K5" s="420"/>
      <c r="L5" s="419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21" t="s">
        <v>22</v>
      </c>
      <c r="D8" s="422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23" t="s">
        <v>103</v>
      </c>
      <c r="AB8" s="423"/>
      <c r="AC8" s="42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24" t="s">
        <v>26</v>
      </c>
      <c r="D9" s="42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14" t="s">
        <v>27</v>
      </c>
      <c r="D10" s="415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14" t="s">
        <v>28</v>
      </c>
      <c r="D11" s="415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14" t="s">
        <v>29</v>
      </c>
      <c r="D12" s="426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14" t="s">
        <v>30</v>
      </c>
      <c r="D13" s="415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32" t="s">
        <v>32</v>
      </c>
      <c r="D16" s="433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34" t="s">
        <v>34</v>
      </c>
      <c r="D17" s="43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36" t="s">
        <v>35</v>
      </c>
      <c r="D18" s="43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8" t="s">
        <v>37</v>
      </c>
      <c r="D37" s="43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40" t="s">
        <v>105</v>
      </c>
      <c r="AB37" s="441"/>
      <c r="AC37" s="44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14" t="str">
        <f>perm_name</f>
        <v>Permanent Positions</v>
      </c>
      <c r="D38" s="42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14" t="str">
        <f>Group_name</f>
        <v>Board &amp; Group Positions</v>
      </c>
      <c r="D39" s="42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14" t="s">
        <v>38</v>
      </c>
      <c r="D41" s="42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4"/>
      <c r="D42" s="44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6" t="s">
        <v>39</v>
      </c>
      <c r="D43" s="447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30" t="s">
        <v>106</v>
      </c>
      <c r="AB43" s="431"/>
      <c r="AC43" s="43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8"/>
      <c r="D44" s="449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50" t="s">
        <v>98</v>
      </c>
      <c r="F46" s="451"/>
      <c r="G46" s="451"/>
      <c r="H46" s="451"/>
      <c r="I46" s="451"/>
      <c r="J46" s="452"/>
      <c r="K46" s="456" t="str">
        <f>IF(OR(J45&lt;0,F45&lt;0),"You may not have sufficient funding or authorized FTP, and may need to make additional adjustments to finalize this form.  Please contact both your DFM and LSO analysts.","")</f>
        <v/>
      </c>
      <c r="L46" s="457"/>
      <c r="M46" s="457"/>
      <c r="N46" s="45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53"/>
      <c r="F47" s="454"/>
      <c r="G47" s="454"/>
      <c r="H47" s="454"/>
      <c r="I47" s="454"/>
      <c r="J47" s="455"/>
      <c r="K47" s="459"/>
      <c r="L47" s="460"/>
      <c r="M47" s="460"/>
      <c r="N47" s="46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62"/>
      <c r="D50" s="46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64" t="s">
        <v>47</v>
      </c>
      <c r="D53" s="46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42" t="s">
        <v>48</v>
      </c>
      <c r="D54" s="44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8" t="s">
        <v>49</v>
      </c>
      <c r="D55" s="46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66" t="s">
        <v>51</v>
      </c>
      <c r="D57" s="470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71" t="s">
        <v>116</v>
      </c>
      <c r="D58" s="472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71" t="s">
        <v>52</v>
      </c>
      <c r="D59" s="47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66" t="s">
        <v>54</v>
      </c>
      <c r="D61" s="470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42" t="s">
        <v>65</v>
      </c>
      <c r="D62" s="44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42" t="s">
        <v>55</v>
      </c>
      <c r="D63" s="44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73" t="s">
        <v>56</v>
      </c>
      <c r="D64" s="474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75"/>
      <c r="D65" s="47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77"/>
      <c r="D66" s="478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66" t="s">
        <v>58</v>
      </c>
      <c r="D68" s="46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66" t="s">
        <v>59</v>
      </c>
      <c r="D69" s="467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81"/>
      <c r="D70" s="482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42" t="s">
        <v>60</v>
      </c>
      <c r="D71" s="44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42" t="s">
        <v>99</v>
      </c>
      <c r="D72" s="483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42" t="s">
        <v>117</v>
      </c>
      <c r="D73" s="483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84" t="s">
        <v>63</v>
      </c>
      <c r="D76" s="485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9"/>
      <c r="D77" s="480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9"/>
      <c r="D78" s="480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9"/>
      <c r="D79" s="480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20" priority="8">
      <formula>$J$44&lt;0</formula>
    </cfRule>
  </conditionalFormatting>
  <conditionalFormatting sqref="K43">
    <cfRule type="expression" dxfId="19" priority="7">
      <formula>$J$43&lt;0</formula>
    </cfRule>
  </conditionalFormatting>
  <conditionalFormatting sqref="L16">
    <cfRule type="expression" dxfId="18" priority="6">
      <formula>$J$16&lt;0</formula>
    </cfRule>
  </conditionalFormatting>
  <conditionalFormatting sqref="K45">
    <cfRule type="expression" dxfId="17" priority="5">
      <formula>$J$44&lt;0</formula>
    </cfRule>
  </conditionalFormatting>
  <conditionalFormatting sqref="K43:N45">
    <cfRule type="containsText" dxfId="16" priority="4" operator="containsText" text="underfunding">
      <formula>NOT(ISERROR(SEARCH("underfunding",K43)))</formula>
    </cfRule>
  </conditionalFormatting>
  <conditionalFormatting sqref="K44">
    <cfRule type="expression" dxfId="15" priority="3">
      <formula>$J$44&lt;0</formula>
    </cfRule>
  </conditionalFormatting>
  <conditionalFormatting sqref="K45">
    <cfRule type="expression" dxfId="14" priority="2">
      <formula>$J$44&lt;0</formula>
    </cfRule>
  </conditionalFormatting>
  <conditionalFormatting sqref="K45">
    <cfRule type="expression" dxfId="1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43"/>
  <sheetViews>
    <sheetView topLeftCell="A16" workbookViewId="0">
      <selection activeCell="O37" sqref="O37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6" t="s">
        <v>364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 x14ac:dyDescent="0.25">
      <c r="A2" s="421" t="s">
        <v>22</v>
      </c>
      <c r="B2" s="422"/>
      <c r="C2" s="371" t="s">
        <v>23</v>
      </c>
      <c r="D2" s="49" t="s">
        <v>24</v>
      </c>
      <c r="E2" s="50" t="str">
        <f>"FY "&amp;'GVCA|0001-00'!FiscalYear-1&amp;" SALARY"</f>
        <v>FY 2023 SALARY</v>
      </c>
      <c r="F2" s="50" t="str">
        <f>"FY "&amp;'GVCA|0001-00'!FiscalYear-1&amp;" HEALTH BENEFITS"</f>
        <v>FY 2023 HEALTH BENEFITS</v>
      </c>
      <c r="G2" s="50" t="str">
        <f>"FY "&amp;'GVCA|0001-00'!FiscalYear-1&amp;" VAR BENEFITS"</f>
        <v>FY 2023 VAR BENEFITS</v>
      </c>
      <c r="H2" s="50" t="str">
        <f>"FY "&amp;'GVCA|0001-00'!FiscalYear-1&amp;" TOTAL"</f>
        <v>FY 2023 TOTAL</v>
      </c>
      <c r="I2" s="50" t="str">
        <f>"FY "&amp;'GVCA|0001-00'!FiscalYear&amp;" SALARY CHANGE"</f>
        <v>FY 2024 SALARY CHANGE</v>
      </c>
      <c r="J2" s="50" t="str">
        <f>"FY "&amp;'GVCA|0001-00'!FiscalYear&amp;" CHG HEALTH BENEFITS"</f>
        <v>FY 2024 CHG HEALTH BENEFITS</v>
      </c>
      <c r="K2" s="50" t="str">
        <f>"FY "&amp;'GVCA|0001-00'!FiscalYear&amp;" CHG VAR BENEFITS"</f>
        <v>FY 2024 CHG VAR BENEFITS</v>
      </c>
      <c r="L2" s="50" t="s">
        <v>25</v>
      </c>
    </row>
    <row r="3" spans="1:12" x14ac:dyDescent="0.25">
      <c r="A3" s="424" t="s">
        <v>26</v>
      </c>
      <c r="B3" s="42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14" t="s">
        <v>27</v>
      </c>
      <c r="B4" s="415"/>
      <c r="C4" s="217">
        <v>1</v>
      </c>
      <c r="D4" s="288">
        <f>[0]!GVCA000100col_INC_FTI</f>
        <v>14.7</v>
      </c>
      <c r="E4" s="218">
        <f>[0]!GVCA000100col_FTI_SALARY_PERM</f>
        <v>1320926.8800000001</v>
      </c>
      <c r="F4" s="218">
        <f>[0]!GVCA000100col_HEALTH_PERM</f>
        <v>183750</v>
      </c>
      <c r="G4" s="218">
        <f>[0]!GVCA000100col_TOT_VB_PERM</f>
        <v>271395.65330080007</v>
      </c>
      <c r="H4" s="219">
        <f>SUM(E4:G4)</f>
        <v>1776072.5333008002</v>
      </c>
      <c r="I4" s="219">
        <f>[0]!GVCA000100col_1_27TH_PP</f>
        <v>0</v>
      </c>
      <c r="J4" s="218">
        <f>[0]!GVCA000100col_HEALTH_PERM_CHG</f>
        <v>18375</v>
      </c>
      <c r="K4" s="218">
        <f>[0]!GVCA000100col_TOT_VB_PERM_CHG</f>
        <v>-11231.663856000012</v>
      </c>
      <c r="L4" s="218">
        <f>SUM(J4:K4)</f>
        <v>7143.3361439999881</v>
      </c>
    </row>
    <row r="5" spans="1:12" x14ac:dyDescent="0.25">
      <c r="A5" s="414" t="s">
        <v>28</v>
      </c>
      <c r="B5" s="415"/>
      <c r="C5" s="217">
        <v>2</v>
      </c>
      <c r="D5" s="288"/>
      <c r="E5" s="218">
        <f>[0]!GVCA000100col_Group_Salary</f>
        <v>5005</v>
      </c>
      <c r="F5" s="218">
        <v>0</v>
      </c>
      <c r="G5" s="218">
        <f>[0]!GVCA000100col_Group_Ben</f>
        <v>583.80999999999995</v>
      </c>
      <c r="H5" s="219">
        <f>SUM(E5:G5)</f>
        <v>5588.8099999999995</v>
      </c>
      <c r="I5" s="268"/>
      <c r="J5" s="218"/>
      <c r="K5" s="218"/>
      <c r="L5" s="218"/>
    </row>
    <row r="6" spans="1:12" x14ac:dyDescent="0.25">
      <c r="A6" s="414" t="s">
        <v>29</v>
      </c>
      <c r="B6" s="426"/>
      <c r="C6" s="217">
        <v>3</v>
      </c>
      <c r="D6" s="288">
        <f>[0]!GVCA000100col_TOTAL_ELECT_PCN_FTI</f>
        <v>0</v>
      </c>
      <c r="E6" s="218">
        <f>[0]!GVCA000100col_FTI_SALARY_ELECT</f>
        <v>0</v>
      </c>
      <c r="F6" s="218">
        <f>[0]!GVCA000100col_HEALTH_ELECT</f>
        <v>0</v>
      </c>
      <c r="G6" s="218">
        <f>[0]!GVCA000100col_TOT_VB_ELECT</f>
        <v>0</v>
      </c>
      <c r="H6" s="219">
        <f>SUM(E6:G6)</f>
        <v>0</v>
      </c>
      <c r="I6" s="268"/>
      <c r="J6" s="218">
        <f>[0]!GVCA000100col_HEALTH_ELECT_CHG</f>
        <v>0</v>
      </c>
      <c r="K6" s="218">
        <f>[0]!GVCA000100col_TOT_VB_ELECT_CHG</f>
        <v>0</v>
      </c>
      <c r="L6" s="219">
        <f>SUM(J6:K6)</f>
        <v>0</v>
      </c>
    </row>
    <row r="7" spans="1:12" x14ac:dyDescent="0.25">
      <c r="A7" s="414" t="s">
        <v>30</v>
      </c>
      <c r="B7" s="415"/>
      <c r="C7" s="217"/>
      <c r="D7" s="220">
        <f>SUM(D4:D6)</f>
        <v>14.7</v>
      </c>
      <c r="E7" s="221">
        <f>SUM(E4:E6)</f>
        <v>1325931.8800000001</v>
      </c>
      <c r="F7" s="221">
        <f>SUM(F4:F6)</f>
        <v>183750</v>
      </c>
      <c r="G7" s="221">
        <f>SUM(G4:G6)</f>
        <v>271979.46330080007</v>
      </c>
      <c r="H7" s="219">
        <f>SUM(E7:G7)</f>
        <v>1781661.3433008003</v>
      </c>
      <c r="I7" s="268"/>
      <c r="J7" s="219">
        <f>SUM(J4:J6)</f>
        <v>18375</v>
      </c>
      <c r="K7" s="219">
        <f>SUM(K4:K6)</f>
        <v>-11231.663856000012</v>
      </c>
      <c r="L7" s="219">
        <f>SUM(L4:L6)</f>
        <v>7143.3361439999881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"&amp;'GVCA|0001-00'!FiscalYear-1</f>
        <v>FY 2023</v>
      </c>
      <c r="B9" s="158" t="s">
        <v>31</v>
      </c>
      <c r="C9" s="355">
        <v>1879100</v>
      </c>
      <c r="D9" s="55">
        <v>14.65</v>
      </c>
      <c r="E9" s="223">
        <f>IF('GVCA|0001-00'!OrigApprop=0,0,(E7/H7)*'GVCA|0001-00'!OrigApprop)</f>
        <v>1398446.795220918</v>
      </c>
      <c r="F9" s="223">
        <f>IF('GVCA|0001-00'!OrigApprop=0,0,(F7/H7)*'GVCA|0001-00'!OrigApprop)</f>
        <v>193799.24602298852</v>
      </c>
      <c r="G9" s="223">
        <f>IF(E9=0,0,(G7/H7)*'GVCA|0001-00'!OrigApprop)</f>
        <v>286853.95875609323</v>
      </c>
      <c r="H9" s="223">
        <f>SUM(E9:G9)</f>
        <v>1879099.9999999998</v>
      </c>
      <c r="I9" s="268"/>
      <c r="J9" s="224"/>
      <c r="K9" s="224"/>
      <c r="L9" s="224"/>
    </row>
    <row r="10" spans="1:12" x14ac:dyDescent="0.25">
      <c r="A10" s="432" t="s">
        <v>32</v>
      </c>
      <c r="B10" s="433"/>
      <c r="C10" s="160" t="s">
        <v>33</v>
      </c>
      <c r="D10" s="161">
        <f>D9-D7</f>
        <v>-4.9999999999998934E-2</v>
      </c>
      <c r="E10" s="162">
        <f>E9-E7</f>
        <v>72514.915220917901</v>
      </c>
      <c r="F10" s="162">
        <f>F9-F7</f>
        <v>10049.246022988518</v>
      </c>
      <c r="G10" s="162">
        <f>G9-G7</f>
        <v>14874.495455293159</v>
      </c>
      <c r="H10" s="162">
        <f>H9-H7</f>
        <v>97438.656699199462</v>
      </c>
      <c r="I10" s="269"/>
      <c r="J10" s="56" t="str">
        <f>IF('GVCA|0001-00'!OrigApprop=0,"No Original Appropriation amount in DU 3.00 for this fund","Calculated "&amp;IF('GVCA|0001-00'!AdjustedTotal&gt;0,"overfunding ","underfunding ")&amp;"is "&amp;TEXT('GVCA|0001-00'!AdjustedTotal/'GVCA|0001-00'!AppropTotal,"#.0%;(#.0% );0% ;")&amp;" of Original Appropriation")</f>
        <v>Calculated overfunding is 5.2% of Original Appropriation</v>
      </c>
      <c r="K10" s="163"/>
      <c r="L10" s="164"/>
    </row>
    <row r="12" spans="1:12" x14ac:dyDescent="0.25">
      <c r="A12" s="396" t="s">
        <v>370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 x14ac:dyDescent="0.25">
      <c r="A13" s="421" t="s">
        <v>22</v>
      </c>
      <c r="B13" s="422"/>
      <c r="C13" s="371" t="s">
        <v>23</v>
      </c>
      <c r="D13" s="49" t="s">
        <v>24</v>
      </c>
      <c r="E13" s="50" t="str">
        <f>"FY "&amp;'GVCA|0349-00'!FiscalYear-1&amp;" SALARY"</f>
        <v>FY 2023 SALARY</v>
      </c>
      <c r="F13" s="50" t="str">
        <f>"FY "&amp;'GVCA|0349-00'!FiscalYear-1&amp;" HEALTH BENEFITS"</f>
        <v>FY 2023 HEALTH BENEFITS</v>
      </c>
      <c r="G13" s="50" t="str">
        <f>"FY "&amp;'GVCA|0349-00'!FiscalYear-1&amp;" VAR BENEFITS"</f>
        <v>FY 2023 VAR BENEFITS</v>
      </c>
      <c r="H13" s="50" t="str">
        <f>"FY "&amp;'GVCA|0349-00'!FiscalYear-1&amp;" TOTAL"</f>
        <v>FY 2023 TOTAL</v>
      </c>
      <c r="I13" s="50" t="str">
        <f>"FY "&amp;'GVCA|0349-00'!FiscalYear&amp;" SALARY CHANGE"</f>
        <v>FY 2024 SALARY CHANGE</v>
      </c>
      <c r="J13" s="50" t="str">
        <f>"FY "&amp;'GVCA|0349-00'!FiscalYear&amp;" CHG HEALTH BENEFITS"</f>
        <v>FY 2024 CHG HEALTH BENEFITS</v>
      </c>
      <c r="K13" s="50" t="str">
        <f>"FY "&amp;'GVCA|0349-00'!FiscalYear&amp;" CHG VAR BENEFITS"</f>
        <v>FY 2024 CHG VAR BENEFITS</v>
      </c>
      <c r="L13" s="50" t="s">
        <v>25</v>
      </c>
    </row>
    <row r="14" spans="1:12" x14ac:dyDescent="0.25">
      <c r="A14" s="424" t="s">
        <v>26</v>
      </c>
      <c r="B14" s="425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14" t="s">
        <v>27</v>
      </c>
      <c r="B15" s="415"/>
      <c r="C15" s="217">
        <v>1</v>
      </c>
      <c r="D15" s="288">
        <f>[0]!GVCA034900col_INC_FTI</f>
        <v>0.3</v>
      </c>
      <c r="E15" s="218">
        <f>[0]!GVCA034900col_FTI_SALARY_PERM</f>
        <v>15743.52</v>
      </c>
      <c r="F15" s="218">
        <f>[0]!GVCA034900col_HEALTH_PERM</f>
        <v>3750</v>
      </c>
      <c r="G15" s="218">
        <f>[0]!GVCA034900col_TOT_VB_PERM</f>
        <v>3249.6199631999998</v>
      </c>
      <c r="H15" s="219">
        <f>SUM(E15:G15)</f>
        <v>22743.139963199999</v>
      </c>
      <c r="I15" s="219">
        <f>[0]!GVCA034900col_1_27TH_PP</f>
        <v>0</v>
      </c>
      <c r="J15" s="218">
        <f>[0]!GVCA034900col_HEALTH_PERM_CHG</f>
        <v>375</v>
      </c>
      <c r="K15" s="218">
        <f>[0]!GVCA034900col_TOT_VB_PERM_CHG</f>
        <v>-136.96862400000015</v>
      </c>
      <c r="L15" s="218">
        <f>SUM(J15:K15)</f>
        <v>238.03137599999985</v>
      </c>
    </row>
    <row r="16" spans="1:12" x14ac:dyDescent="0.25">
      <c r="A16" s="414" t="s">
        <v>28</v>
      </c>
      <c r="B16" s="415"/>
      <c r="C16" s="217">
        <v>2</v>
      </c>
      <c r="D16" s="288"/>
      <c r="E16" s="218">
        <f>[0]!GVCA034900col_Group_Salary</f>
        <v>0</v>
      </c>
      <c r="F16" s="218">
        <v>0</v>
      </c>
      <c r="G16" s="218">
        <f>[0]!GVCA034900col_Group_Ben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14" t="s">
        <v>29</v>
      </c>
      <c r="B17" s="426"/>
      <c r="C17" s="217">
        <v>3</v>
      </c>
      <c r="D17" s="288">
        <f>[0]!GVCA034900col_TOTAL_ELECT_PCN_FTI</f>
        <v>0</v>
      </c>
      <c r="E17" s="218">
        <f>[0]!GVCA034900col_FTI_SALARY_ELECT</f>
        <v>0</v>
      </c>
      <c r="F17" s="218">
        <f>[0]!GVCA034900col_HEALTH_ELECT</f>
        <v>0</v>
      </c>
      <c r="G17" s="218">
        <f>[0]!GVCA034900col_TOT_VB_ELECT</f>
        <v>0</v>
      </c>
      <c r="H17" s="219">
        <f>SUM(E17:G17)</f>
        <v>0</v>
      </c>
      <c r="I17" s="268"/>
      <c r="J17" s="218">
        <f>[0]!GVCA034900col_HEALTH_ELECT_CHG</f>
        <v>0</v>
      </c>
      <c r="K17" s="218">
        <f>[0]!GVCA034900col_TOT_VB_ELECT_CHG</f>
        <v>0</v>
      </c>
      <c r="L17" s="219">
        <f>SUM(J17:K17)</f>
        <v>0</v>
      </c>
    </row>
    <row r="18" spans="1:12" x14ac:dyDescent="0.25">
      <c r="A18" s="414" t="s">
        <v>30</v>
      </c>
      <c r="B18" s="415"/>
      <c r="C18" s="217"/>
      <c r="D18" s="220">
        <f>SUM(D15:D17)</f>
        <v>0.3</v>
      </c>
      <c r="E18" s="221">
        <f>SUM(E15:E17)</f>
        <v>15743.52</v>
      </c>
      <c r="F18" s="221">
        <f>SUM(F15:F17)</f>
        <v>3750</v>
      </c>
      <c r="G18" s="221">
        <f>SUM(G15:G17)</f>
        <v>3249.6199631999998</v>
      </c>
      <c r="H18" s="219">
        <f>SUM(E18:G18)</f>
        <v>22743.139963199999</v>
      </c>
      <c r="I18" s="268"/>
      <c r="J18" s="219">
        <f>SUM(J15:J17)</f>
        <v>375</v>
      </c>
      <c r="K18" s="219">
        <f>SUM(K15:K17)</f>
        <v>-136.96862400000015</v>
      </c>
      <c r="L18" s="219">
        <f>SUM(L15:L17)</f>
        <v>238.03137599999985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"&amp;'GVCA|0349-00'!FiscalYear-1</f>
        <v>FY 2023</v>
      </c>
      <c r="B20" s="158" t="s">
        <v>31</v>
      </c>
      <c r="C20" s="355">
        <v>43500</v>
      </c>
      <c r="D20" s="55">
        <v>0.35</v>
      </c>
      <c r="E20" s="223">
        <f>IF('GVCA|0349-00'!OrigApprop=0,0,(E18/H18)*'GVCA|0349-00'!OrigApprop)</f>
        <v>30112.074282976071</v>
      </c>
      <c r="F20" s="223">
        <f>IF('GVCA|0349-00'!OrigApprop=0,0,(F18/H18)*'GVCA|0349-00'!OrigApprop)</f>
        <v>7172.492464274842</v>
      </c>
      <c r="G20" s="223">
        <f>IF(E20=0,0,(G18/H18)*'GVCA|0349-00'!OrigApprop)</f>
        <v>6215.4332527490897</v>
      </c>
      <c r="H20" s="223">
        <f>SUM(E20:G20)</f>
        <v>43500.000000000007</v>
      </c>
      <c r="I20" s="268"/>
      <c r="J20" s="224"/>
      <c r="K20" s="224"/>
      <c r="L20" s="224"/>
    </row>
    <row r="21" spans="1:12" x14ac:dyDescent="0.25">
      <c r="A21" s="432" t="s">
        <v>32</v>
      </c>
      <c r="B21" s="433"/>
      <c r="C21" s="160" t="s">
        <v>33</v>
      </c>
      <c r="D21" s="161">
        <f>D20-D18</f>
        <v>4.9999999999999989E-2</v>
      </c>
      <c r="E21" s="162">
        <f>E20-E18</f>
        <v>14368.554282976071</v>
      </c>
      <c r="F21" s="162">
        <f>F20-F18</f>
        <v>3422.492464274842</v>
      </c>
      <c r="G21" s="162">
        <f>G20-G18</f>
        <v>2965.8132895490899</v>
      </c>
      <c r="H21" s="162">
        <f>H20-H18</f>
        <v>20756.860036800008</v>
      </c>
      <c r="I21" s="269"/>
      <c r="J21" s="56" t="str">
        <f>IF('GVCA|0349-00'!OrigApprop=0,"No Original Appropriation amount in DU 3.00 for this fund","Calculated "&amp;IF('GVCA|0349-00'!AdjustedTotal&gt;0,"overfunding ","underfunding ")&amp;"is "&amp;TEXT('GVCA|0349-00'!AdjustedTotal/'GVCA|0349-00'!AppropTotal,"#.0%;(#.0% );0% ;")&amp;" of Original Appropriation")</f>
        <v>Calculated overfunding is 47.7% of Original Appropriation</v>
      </c>
      <c r="K21" s="163"/>
      <c r="L21" s="164"/>
    </row>
    <row r="23" spans="1:12" x14ac:dyDescent="0.25">
      <c r="A23" s="396" t="s">
        <v>376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</row>
    <row r="24" spans="1:12" ht="39" x14ac:dyDescent="0.25">
      <c r="A24" s="421" t="s">
        <v>22</v>
      </c>
      <c r="B24" s="422"/>
      <c r="C24" s="371" t="s">
        <v>23</v>
      </c>
      <c r="D24" s="49" t="s">
        <v>24</v>
      </c>
      <c r="E24" s="50" t="str">
        <f>"FY "&amp;'GVCA|0475-05'!FiscalYear-1&amp;" SALARY"</f>
        <v>FY 2023 SALARY</v>
      </c>
      <c r="F24" s="50" t="str">
        <f>"FY "&amp;'GVCA|0475-05'!FiscalYear-1&amp;" HEALTH BENEFITS"</f>
        <v>FY 2023 HEALTH BENEFITS</v>
      </c>
      <c r="G24" s="50" t="str">
        <f>"FY "&amp;'GVCA|0475-05'!FiscalYear-1&amp;" VAR BENEFITS"</f>
        <v>FY 2023 VAR BENEFITS</v>
      </c>
      <c r="H24" s="50" t="str">
        <f>"FY "&amp;'GVCA|0475-05'!FiscalYear-1&amp;" TOTAL"</f>
        <v>FY 2023 TOTAL</v>
      </c>
      <c r="I24" s="50" t="str">
        <f>"FY "&amp;'GVCA|0475-05'!FiscalYear&amp;" SALARY CHANGE"</f>
        <v>FY 2024 SALARY CHANGE</v>
      </c>
      <c r="J24" s="50" t="str">
        <f>"FY "&amp;'GVCA|0475-05'!FiscalYear&amp;" CHG HEALTH BENEFITS"</f>
        <v>FY 2024 CHG HEALTH BENEFITS</v>
      </c>
      <c r="K24" s="50" t="str">
        <f>"FY "&amp;'GVCA|0475-05'!FiscalYear&amp;" CHG VAR BENEFITS"</f>
        <v>FY 2024 CHG VAR BENEFITS</v>
      </c>
      <c r="L24" s="50" t="s">
        <v>25</v>
      </c>
    </row>
    <row r="25" spans="1:12" x14ac:dyDescent="0.25">
      <c r="A25" s="424" t="s">
        <v>26</v>
      </c>
      <c r="B25" s="425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t="s">
        <v>27</v>
      </c>
      <c r="C26" s="217">
        <v>1</v>
      </c>
      <c r="D26" s="288">
        <f>[0]!GVCA047505col_INC_FTI</f>
        <v>2</v>
      </c>
      <c r="E26" s="218">
        <f>[0]!GVCA047505col_FTI_SALARY_PERM</f>
        <v>141544</v>
      </c>
      <c r="F26" s="218">
        <f>[0]!GVCA047505col_HEALTH_PERM</f>
        <v>25000</v>
      </c>
      <c r="G26" s="218">
        <f>[0]!GVCA047505col_TOT_VB_PERM</f>
        <v>29216.097040000001</v>
      </c>
      <c r="H26" s="219">
        <f>SUM(E26:G26)</f>
        <v>195760.09703999999</v>
      </c>
      <c r="I26" s="219">
        <f>[0]!GVCA047505col_1_27TH_PP</f>
        <v>0</v>
      </c>
      <c r="J26" s="218">
        <f>[0]!GVCA047505col_HEALTH_PERM_CHG</f>
        <v>2500</v>
      </c>
      <c r="K26" s="218">
        <f>[0]!GVCA047505col_TOT_VB_PERM_CHG</f>
        <v>-1231.4328000000014</v>
      </c>
      <c r="L26" s="218">
        <f>SUM(J26:K26)</f>
        <v>1268.5671999999986</v>
      </c>
    </row>
    <row r="27" spans="1:12" x14ac:dyDescent="0.25">
      <c r="A27" s="414" t="s">
        <v>28</v>
      </c>
      <c r="B27" s="415"/>
      <c r="C27" s="217">
        <v>2</v>
      </c>
      <c r="D27" s="288"/>
      <c r="E27" s="218">
        <f>[0]!GVCA047505col_Group_Salary</f>
        <v>0</v>
      </c>
      <c r="F27" s="218">
        <v>0</v>
      </c>
      <c r="G27" s="218">
        <f>[0]!GVCA047505col_Group_Ben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14" t="s">
        <v>29</v>
      </c>
      <c r="B28" s="426"/>
      <c r="C28" s="217">
        <v>3</v>
      </c>
      <c r="D28" s="288">
        <f>[0]!GVCA047505col_TOTAL_ELECT_PCN_FTI</f>
        <v>0</v>
      </c>
      <c r="E28" s="218">
        <f>[0]!GVCA047505col_FTI_SALARY_ELECT</f>
        <v>0</v>
      </c>
      <c r="F28" s="218">
        <f>[0]!GVCA047505col_HEALTH_ELECT</f>
        <v>0</v>
      </c>
      <c r="G28" s="218">
        <f>[0]!GVCA047505col_TOT_VB_ELECT</f>
        <v>0</v>
      </c>
      <c r="H28" s="219">
        <f>SUM(E28:G28)</f>
        <v>0</v>
      </c>
      <c r="I28" s="268"/>
      <c r="J28" s="218">
        <f>[0]!GVCA047505col_HEALTH_ELECT_CHG</f>
        <v>0</v>
      </c>
      <c r="K28" s="218">
        <f>[0]!GVCA047505col_TOT_VB_ELECT_CHG</f>
        <v>0</v>
      </c>
      <c r="L28" s="219">
        <f>SUM(J28:K28)</f>
        <v>0</v>
      </c>
    </row>
    <row r="29" spans="1:12" x14ac:dyDescent="0.25">
      <c r="A29" s="414" t="s">
        <v>30</v>
      </c>
      <c r="B29" s="415"/>
      <c r="C29" s="217"/>
      <c r="D29" s="220">
        <f>SUM(D26:D28)</f>
        <v>2</v>
      </c>
      <c r="E29" s="221">
        <f>SUM(E26:E28)</f>
        <v>141544</v>
      </c>
      <c r="F29" s="221">
        <f>SUM(F26:F28)</f>
        <v>25000</v>
      </c>
      <c r="G29" s="221">
        <f>SUM(G26:G28)</f>
        <v>29216.097040000001</v>
      </c>
      <c r="H29" s="219">
        <f>SUM(E29:G29)</f>
        <v>195760.09703999999</v>
      </c>
      <c r="I29" s="268"/>
      <c r="J29" s="219">
        <f>SUM(J26:J28)</f>
        <v>2500</v>
      </c>
      <c r="K29" s="219">
        <f>SUM(K26:K28)</f>
        <v>-1231.4328000000014</v>
      </c>
      <c r="L29" s="219">
        <f>SUM(L26:L28)</f>
        <v>1268.5671999999986</v>
      </c>
    </row>
    <row r="30" spans="1:12" x14ac:dyDescent="0.25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"&amp;'GVCA|0475-05'!FiscalYear-1</f>
        <v>FY 2023</v>
      </c>
      <c r="B31" s="158" t="s">
        <v>31</v>
      </c>
      <c r="C31" s="355">
        <v>414100</v>
      </c>
      <c r="D31" s="55">
        <v>4</v>
      </c>
      <c r="E31" s="223">
        <f>IF('GVCA|0475-05'!OrigApprop=0,0,(E29/H29)*'GVCA|0475-05'!OrigApprop)</f>
        <v>299414.28966508649</v>
      </c>
      <c r="F31" s="223">
        <f>IF('GVCA|0475-05'!OrigApprop=0,0,(F29/H29)*'GVCA|0475-05'!OrigApprop)</f>
        <v>52883.606805143005</v>
      </c>
      <c r="G31" s="223">
        <f>IF(E31=0,0,(G29/H29)*'GVCA|0475-05'!OrigApprop)</f>
        <v>61802.103529770502</v>
      </c>
      <c r="H31" s="223">
        <f>SUM(E31:G31)</f>
        <v>414100</v>
      </c>
      <c r="I31" s="268"/>
      <c r="J31" s="224"/>
      <c r="K31" s="224"/>
      <c r="L31" s="224"/>
    </row>
    <row r="32" spans="1:12" x14ac:dyDescent="0.25">
      <c r="A32" s="432" t="s">
        <v>32</v>
      </c>
      <c r="B32" s="433"/>
      <c r="C32" s="160" t="s">
        <v>33</v>
      </c>
      <c r="D32" s="161">
        <f>D31-D29</f>
        <v>2</v>
      </c>
      <c r="E32" s="162">
        <f>E31-E29</f>
        <v>157870.28966508649</v>
      </c>
      <c r="F32" s="162">
        <f>F31-F29</f>
        <v>27883.606805143005</v>
      </c>
      <c r="G32" s="162">
        <f>G31-G29</f>
        <v>32586.006489770502</v>
      </c>
      <c r="H32" s="162">
        <f>H31-H29</f>
        <v>218339.90296000001</v>
      </c>
      <c r="I32" s="269"/>
      <c r="J32" s="56" t="str">
        <f>IF('GVCA|0475-05'!OrigApprop=0,"No Original Appropriation amount in DU 3.00 for this fund","Calculated "&amp;IF('GVCA|0475-05'!AdjustedTotal&gt;0,"overfunding ","underfunding ")&amp;"is "&amp;TEXT('GVCA|0475-05'!AdjustedTotal/'GVCA|0475-05'!AppropTotal,"#.0%;(#.0% );0% ;")&amp;" of Original Appropriation")</f>
        <v>Calculated overfunding is 52.7% of Original Appropriation</v>
      </c>
      <c r="K32" s="163"/>
      <c r="L32" s="164"/>
    </row>
    <row r="34" spans="1:12" x14ac:dyDescent="0.25">
      <c r="A34" s="396" t="s">
        <v>402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</row>
    <row r="35" spans="1:12" ht="39" x14ac:dyDescent="0.25">
      <c r="A35" s="421" t="s">
        <v>22</v>
      </c>
      <c r="B35" s="422"/>
      <c r="C35" s="413" t="s">
        <v>23</v>
      </c>
      <c r="D35" s="49" t="s">
        <v>24</v>
      </c>
      <c r="E35" s="50" t="s">
        <v>394</v>
      </c>
      <c r="F35" s="50" t="s">
        <v>395</v>
      </c>
      <c r="G35" s="50" t="s">
        <v>396</v>
      </c>
      <c r="H35" s="50" t="s">
        <v>397</v>
      </c>
      <c r="I35" s="50" t="s">
        <v>398</v>
      </c>
      <c r="J35" s="50" t="s">
        <v>399</v>
      </c>
      <c r="K35" s="50" t="s">
        <v>400</v>
      </c>
      <c r="L35" s="50" t="s">
        <v>25</v>
      </c>
    </row>
    <row r="36" spans="1:12" x14ac:dyDescent="0.25">
      <c r="A36" s="424" t="s">
        <v>26</v>
      </c>
      <c r="B36" s="425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t="s">
        <v>27</v>
      </c>
      <c r="C37" s="217">
        <v>1</v>
      </c>
      <c r="D37" s="288">
        <v>0</v>
      </c>
      <c r="E37" s="218">
        <v>0</v>
      </c>
      <c r="F37" s="218">
        <v>0</v>
      </c>
      <c r="G37" s="218">
        <v>0</v>
      </c>
      <c r="H37" s="219">
        <v>0</v>
      </c>
      <c r="I37" s="219">
        <v>0</v>
      </c>
      <c r="J37" s="218">
        <v>0</v>
      </c>
      <c r="K37" s="218">
        <v>0</v>
      </c>
      <c r="L37" s="218">
        <v>0</v>
      </c>
    </row>
    <row r="38" spans="1:12" x14ac:dyDescent="0.25">
      <c r="A38" s="414" t="s">
        <v>28</v>
      </c>
      <c r="B38" s="415"/>
      <c r="C38" s="217">
        <v>2</v>
      </c>
      <c r="D38" s="288"/>
      <c r="E38" s="218">
        <v>0</v>
      </c>
      <c r="F38" s="218">
        <v>0</v>
      </c>
      <c r="G38" s="218">
        <v>0</v>
      </c>
      <c r="H38" s="219">
        <v>0</v>
      </c>
      <c r="I38" s="268"/>
      <c r="J38" s="218"/>
      <c r="K38" s="218"/>
      <c r="L38" s="218"/>
    </row>
    <row r="39" spans="1:12" x14ac:dyDescent="0.25">
      <c r="A39" s="414" t="s">
        <v>29</v>
      </c>
      <c r="B39" s="426"/>
      <c r="C39" s="217">
        <v>3</v>
      </c>
      <c r="D39" s="288">
        <v>0</v>
      </c>
      <c r="E39" s="218">
        <v>0</v>
      </c>
      <c r="F39" s="218">
        <v>0</v>
      </c>
      <c r="G39" s="218">
        <v>0</v>
      </c>
      <c r="H39" s="219">
        <v>0</v>
      </c>
      <c r="I39" s="268"/>
      <c r="J39" s="218">
        <v>0</v>
      </c>
      <c r="K39" s="218">
        <v>0</v>
      </c>
      <c r="L39" s="219">
        <v>0</v>
      </c>
    </row>
    <row r="40" spans="1:12" x14ac:dyDescent="0.25">
      <c r="A40" s="414" t="s">
        <v>30</v>
      </c>
      <c r="B40" s="415"/>
      <c r="C40" s="217"/>
      <c r="D40" s="220">
        <v>0</v>
      </c>
      <c r="E40" s="221">
        <v>0</v>
      </c>
      <c r="F40" s="221">
        <v>0</v>
      </c>
      <c r="G40" s="221">
        <v>0</v>
      </c>
      <c r="H40" s="219">
        <v>0</v>
      </c>
      <c r="I40" s="268"/>
      <c r="J40" s="219">
        <v>0</v>
      </c>
      <c r="K40" s="219">
        <v>0</v>
      </c>
      <c r="L40" s="219">
        <v>0</v>
      </c>
    </row>
    <row r="41" spans="1:12" x14ac:dyDescent="0.25">
      <c r="A41" s="409"/>
      <c r="B41" s="412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">
        <v>401</v>
      </c>
      <c r="B42" s="158" t="s">
        <v>31</v>
      </c>
      <c r="C42" s="355">
        <v>81200</v>
      </c>
      <c r="D42" s="55">
        <v>1</v>
      </c>
      <c r="E42" s="223" t="e">
        <v>#DIV/0!</v>
      </c>
      <c r="F42" s="223" t="e">
        <v>#DIV/0!</v>
      </c>
      <c r="G42" s="223" t="e">
        <v>#DIV/0!</v>
      </c>
      <c r="H42" s="223" t="e">
        <v>#DIV/0!</v>
      </c>
      <c r="I42" s="268"/>
      <c r="J42" s="224"/>
      <c r="K42" s="224"/>
      <c r="L42" s="224"/>
    </row>
    <row r="43" spans="1:12" ht="15" customHeight="1" x14ac:dyDescent="0.25">
      <c r="A43" s="432" t="s">
        <v>32</v>
      </c>
      <c r="B43" s="433"/>
      <c r="C43" s="160" t="s">
        <v>33</v>
      </c>
      <c r="D43" s="161">
        <v>1</v>
      </c>
      <c r="E43" s="162" t="e">
        <v>#DIV/0!</v>
      </c>
      <c r="F43" s="162" t="e">
        <v>#DIV/0!</v>
      </c>
      <c r="G43" s="162" t="e">
        <v>#DIV/0!</v>
      </c>
      <c r="H43" s="162" t="e">
        <v>#DIV/0!</v>
      </c>
      <c r="I43" s="269"/>
      <c r="J43" s="56" t="e">
        <v>#DIV/0!</v>
      </c>
      <c r="K43" s="163"/>
      <c r="L43" s="164"/>
    </row>
  </sheetData>
  <mergeCells count="26">
    <mergeCell ref="A35:B35"/>
    <mergeCell ref="A36:B36"/>
    <mergeCell ref="A38:B38"/>
    <mergeCell ref="A39:B39"/>
    <mergeCell ref="A40:B40"/>
    <mergeCell ref="A43:B43"/>
    <mergeCell ref="A28:B28"/>
    <mergeCell ref="A29:B29"/>
    <mergeCell ref="A32:B32"/>
    <mergeCell ref="A18:B18"/>
    <mergeCell ref="A21:B21"/>
    <mergeCell ref="A24:B24"/>
    <mergeCell ref="A25:B25"/>
    <mergeCell ref="A27:B27"/>
    <mergeCell ref="A17:B17"/>
    <mergeCell ref="A2:B2"/>
    <mergeCell ref="A3:B3"/>
    <mergeCell ref="A4:B4"/>
    <mergeCell ref="A5:B5"/>
    <mergeCell ref="A6:B6"/>
    <mergeCell ref="A7:B7"/>
    <mergeCell ref="A10:B10"/>
    <mergeCell ref="A13:B13"/>
    <mergeCell ref="A14:B14"/>
    <mergeCell ref="A15:B15"/>
    <mergeCell ref="A16:B16"/>
  </mergeCells>
  <conditionalFormatting sqref="J10">
    <cfRule type="expression" dxfId="12" priority="4">
      <formula>$J$16&lt;0</formula>
    </cfRule>
  </conditionalFormatting>
  <conditionalFormatting sqref="J21">
    <cfRule type="expression" dxfId="11" priority="3">
      <formula>$J$16&lt;0</formula>
    </cfRule>
  </conditionalFormatting>
  <conditionalFormatting sqref="J32">
    <cfRule type="expression" dxfId="10" priority="2">
      <formula>$J$16&lt;0</formula>
    </cfRule>
  </conditionalFormatting>
  <conditionalFormatting sqref="J43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180</oddHeader>
    <oddFooter>&amp;L&amp;"Arial"&amp;10 B6:Summary by Program, by Fund&amp;R&amp;"Arial"&amp;10 FY 2023 Request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86" t="s">
        <v>380</v>
      </c>
      <c r="G5" s="486"/>
      <c r="H5" s="487" t="s">
        <v>378</v>
      </c>
      <c r="I5" s="486" t="s">
        <v>381</v>
      </c>
      <c r="J5" s="486"/>
      <c r="K5" s="487" t="s">
        <v>379</v>
      </c>
      <c r="L5" s="486" t="s">
        <v>382</v>
      </c>
      <c r="M5" s="486"/>
    </row>
    <row r="6" spans="1:13" ht="15.75" x14ac:dyDescent="0.25">
      <c r="E6" s="249"/>
      <c r="F6" s="253" t="s">
        <v>92</v>
      </c>
      <c r="G6" s="254" t="s">
        <v>94</v>
      </c>
      <c r="H6" s="488"/>
      <c r="I6" s="253" t="s">
        <v>96</v>
      </c>
      <c r="J6" s="254" t="s">
        <v>93</v>
      </c>
      <c r="K6" s="488"/>
      <c r="L6" s="278" t="s">
        <v>96</v>
      </c>
      <c r="M6" s="254" t="s">
        <v>93</v>
      </c>
    </row>
    <row r="7" spans="1:13" x14ac:dyDescent="0.25">
      <c r="A7" s="393" t="s">
        <v>383</v>
      </c>
      <c r="D7" s="250"/>
    </row>
    <row r="8" spans="1:13" x14ac:dyDescent="0.25">
      <c r="C8" t="s">
        <v>362</v>
      </c>
      <c r="D8" s="250"/>
      <c r="E8" s="403">
        <f>Data!AS39</f>
        <v>14.7</v>
      </c>
      <c r="F8" s="403">
        <f>Data!AT39</f>
        <v>1212668.9400000002</v>
      </c>
      <c r="G8" s="403">
        <f>Data!AU39</f>
        <v>418274.50999999995</v>
      </c>
      <c r="H8" s="403">
        <f>Data!AV39</f>
        <v>1320926.8800000001</v>
      </c>
      <c r="I8" s="403">
        <f>Data!AW39</f>
        <v>183750</v>
      </c>
      <c r="J8" s="403">
        <f>Data!AX39</f>
        <v>271395.65330080007</v>
      </c>
      <c r="K8" s="403">
        <f>Data!AY39</f>
        <v>1320926.8800000001</v>
      </c>
      <c r="L8" s="403">
        <f>Data!AZ39</f>
        <v>202125</v>
      </c>
      <c r="M8" s="403">
        <f>Data!BA39</f>
        <v>260163.98944480001</v>
      </c>
    </row>
    <row r="9" spans="1:13" x14ac:dyDescent="0.25">
      <c r="B9" t="s">
        <v>384</v>
      </c>
      <c r="D9" s="250"/>
      <c r="E9" s="404">
        <f>Data!AS40</f>
        <v>14.7</v>
      </c>
      <c r="F9" s="404">
        <f>Data!AT40</f>
        <v>1212668.9400000002</v>
      </c>
      <c r="G9" s="404">
        <f>Data!AU40</f>
        <v>418274.50999999995</v>
      </c>
      <c r="H9" s="404">
        <f>Data!AV40</f>
        <v>1320926.8800000001</v>
      </c>
      <c r="I9" s="404">
        <f>Data!AW40</f>
        <v>183750</v>
      </c>
      <c r="J9" s="404">
        <f>Data!AX40</f>
        <v>271395.65330080007</v>
      </c>
      <c r="K9" s="404">
        <f>Data!AY40</f>
        <v>1320926.8800000001</v>
      </c>
      <c r="L9" s="404">
        <f>Data!AZ40</f>
        <v>202125</v>
      </c>
      <c r="M9" s="404">
        <f>Data!BA40</f>
        <v>260163.98944480001</v>
      </c>
    </row>
    <row r="10" spans="1:13" x14ac:dyDescent="0.25">
      <c r="C10" t="s">
        <v>368</v>
      </c>
      <c r="D10" s="250"/>
      <c r="E10" s="403">
        <f>Data!AS41</f>
        <v>0.3</v>
      </c>
      <c r="F10" s="403">
        <f>Data!AT41</f>
        <v>14614.56</v>
      </c>
      <c r="G10" s="403">
        <f>Data!AU41</f>
        <v>6432.79</v>
      </c>
      <c r="H10" s="403">
        <f>Data!AV41</f>
        <v>15743.52</v>
      </c>
      <c r="I10" s="403">
        <f>Data!AW41</f>
        <v>3750</v>
      </c>
      <c r="J10" s="403">
        <f>Data!AX41</f>
        <v>3249.6199631999998</v>
      </c>
      <c r="K10" s="403">
        <f>Data!AY41</f>
        <v>15743.52</v>
      </c>
      <c r="L10" s="403">
        <f>Data!AZ41</f>
        <v>4125</v>
      </c>
      <c r="M10" s="403">
        <f>Data!BA41</f>
        <v>3112.6513392000002</v>
      </c>
    </row>
    <row r="11" spans="1:13" x14ac:dyDescent="0.25">
      <c r="B11" t="s">
        <v>385</v>
      </c>
      <c r="D11" s="250"/>
      <c r="E11" s="404">
        <f>Data!AS42</f>
        <v>0.3</v>
      </c>
      <c r="F11" s="404">
        <f>Data!AT42</f>
        <v>14614.56</v>
      </c>
      <c r="G11" s="404">
        <f>Data!AU42</f>
        <v>6432.79</v>
      </c>
      <c r="H11" s="404">
        <f>Data!AV42</f>
        <v>15743.52</v>
      </c>
      <c r="I11" s="404">
        <f>Data!AW42</f>
        <v>3750</v>
      </c>
      <c r="J11" s="404">
        <f>Data!AX42</f>
        <v>3249.6199631999998</v>
      </c>
      <c r="K11" s="404">
        <f>Data!AY42</f>
        <v>15743.52</v>
      </c>
      <c r="L11" s="404">
        <f>Data!AZ42</f>
        <v>4125</v>
      </c>
      <c r="M11" s="404">
        <f>Data!BA42</f>
        <v>3112.6513392000002</v>
      </c>
    </row>
    <row r="12" spans="1:13" x14ac:dyDescent="0.25">
      <c r="C12" t="s">
        <v>374</v>
      </c>
      <c r="D12" s="250"/>
      <c r="E12" s="403">
        <f>Data!AS43</f>
        <v>2</v>
      </c>
      <c r="F12" s="403">
        <f>Data!AT43</f>
        <v>187508.8</v>
      </c>
      <c r="G12" s="403">
        <f>Data!AU43</f>
        <v>68856.759999999995</v>
      </c>
      <c r="H12" s="403">
        <f>Data!AV43</f>
        <v>141544</v>
      </c>
      <c r="I12" s="403">
        <f>Data!AW43</f>
        <v>25000</v>
      </c>
      <c r="J12" s="403">
        <f>Data!AX43</f>
        <v>29216.097040000001</v>
      </c>
      <c r="K12" s="403">
        <f>Data!AY43</f>
        <v>141544</v>
      </c>
      <c r="L12" s="403">
        <f>Data!AZ43</f>
        <v>27500</v>
      </c>
      <c r="M12" s="403">
        <f>Data!BA43</f>
        <v>27984.664239999998</v>
      </c>
    </row>
    <row r="13" spans="1:13" x14ac:dyDescent="0.25">
      <c r="B13" t="s">
        <v>386</v>
      </c>
      <c r="D13" s="250"/>
      <c r="E13" s="404">
        <f>Data!AS44</f>
        <v>2</v>
      </c>
      <c r="F13" s="404">
        <f>Data!AT44</f>
        <v>187508.8</v>
      </c>
      <c r="G13" s="404">
        <f>Data!AU44</f>
        <v>68856.759999999995</v>
      </c>
      <c r="H13" s="404">
        <f>Data!AV44</f>
        <v>141544</v>
      </c>
      <c r="I13" s="404">
        <f>Data!AW44</f>
        <v>25000</v>
      </c>
      <c r="J13" s="404">
        <f>Data!AX44</f>
        <v>29216.097040000001</v>
      </c>
      <c r="K13" s="404">
        <f>Data!AY44</f>
        <v>141544</v>
      </c>
      <c r="L13" s="404">
        <f>Data!AZ44</f>
        <v>27500</v>
      </c>
      <c r="M13" s="404">
        <f>Data!BA44</f>
        <v>27984.664239999998</v>
      </c>
    </row>
    <row r="14" spans="1:13" x14ac:dyDescent="0.25">
      <c r="E14" s="403">
        <f>Data!AS45</f>
        <v>0</v>
      </c>
      <c r="F14" s="403">
        <f>Data!AT45</f>
        <v>0</v>
      </c>
      <c r="G14" s="403">
        <f>Data!AU45</f>
        <v>0</v>
      </c>
      <c r="H14" s="403">
        <f>Data!AV45</f>
        <v>0</v>
      </c>
      <c r="I14" s="403">
        <f>Data!AW45</f>
        <v>0</v>
      </c>
      <c r="J14" s="403">
        <f>Data!AX45</f>
        <v>0</v>
      </c>
      <c r="K14" s="403">
        <f>Data!AY45</f>
        <v>0</v>
      </c>
      <c r="L14" s="403">
        <f>Data!AZ45</f>
        <v>0</v>
      </c>
      <c r="M14" s="403">
        <f>Data!BA45</f>
        <v>0</v>
      </c>
    </row>
    <row r="15" spans="1:13" x14ac:dyDescent="0.25">
      <c r="A15" s="397" t="s">
        <v>387</v>
      </c>
      <c r="E15" s="405">
        <f>Data!AS46</f>
        <v>17</v>
      </c>
      <c r="F15" s="405">
        <f>Data!AT46</f>
        <v>1414792.3000000003</v>
      </c>
      <c r="G15" s="405">
        <f>Data!AU46</f>
        <v>493564.05999999994</v>
      </c>
      <c r="H15" s="405">
        <f>Data!AV46</f>
        <v>1478214.4000000001</v>
      </c>
      <c r="I15" s="405">
        <f>Data!AW46</f>
        <v>212500</v>
      </c>
      <c r="J15" s="405">
        <f>Data!AX46</f>
        <v>303861.3703040001</v>
      </c>
      <c r="K15" s="405">
        <f>Data!AY46</f>
        <v>1478214.4000000001</v>
      </c>
      <c r="L15" s="405">
        <f>Data!AZ46</f>
        <v>233750</v>
      </c>
      <c r="M15" s="405">
        <f>Data!BA46</f>
        <v>291261.305024</v>
      </c>
    </row>
    <row r="16" spans="1:13" x14ac:dyDescent="0.25">
      <c r="E16" s="403">
        <f>Data!AS47</f>
        <v>0</v>
      </c>
      <c r="F16" s="403">
        <f>Data!AT47</f>
        <v>0</v>
      </c>
      <c r="G16" s="403">
        <f>Data!AU47</f>
        <v>0</v>
      </c>
      <c r="H16" s="403">
        <f>Data!AV47</f>
        <v>0</v>
      </c>
      <c r="I16" s="403">
        <f>Data!AW47</f>
        <v>0</v>
      </c>
      <c r="J16" s="403">
        <f>Data!AX47</f>
        <v>0</v>
      </c>
      <c r="K16" s="403">
        <f>Data!AY47</f>
        <v>0</v>
      </c>
      <c r="L16" s="403">
        <f>Data!AZ47</f>
        <v>0</v>
      </c>
      <c r="M16" s="403">
        <f>Data!BA47</f>
        <v>0</v>
      </c>
    </row>
    <row r="17" spans="1:13" x14ac:dyDescent="0.25">
      <c r="A17" s="393" t="s">
        <v>388</v>
      </c>
      <c r="E17" s="403">
        <f>Data!AS48</f>
        <v>0</v>
      </c>
      <c r="F17" s="403">
        <f>Data!AT48</f>
        <v>0</v>
      </c>
      <c r="G17" s="403">
        <f>Data!AU48</f>
        <v>0</v>
      </c>
      <c r="H17" s="403">
        <f>Data!AV48</f>
        <v>0</v>
      </c>
      <c r="I17" s="403">
        <f>Data!AW48</f>
        <v>0</v>
      </c>
      <c r="J17" s="403">
        <f>Data!AX48</f>
        <v>0</v>
      </c>
      <c r="K17" s="403">
        <f>Data!AY48</f>
        <v>0</v>
      </c>
      <c r="L17" s="403">
        <f>Data!AZ48</f>
        <v>0</v>
      </c>
      <c r="M17" s="403">
        <f>Data!BA48</f>
        <v>0</v>
      </c>
    </row>
    <row r="18" spans="1:13" x14ac:dyDescent="0.25">
      <c r="C18" t="s">
        <v>362</v>
      </c>
      <c r="E18" s="403">
        <f>Data!AS49</f>
        <v>0</v>
      </c>
      <c r="F18" s="403">
        <f>Data!AT49</f>
        <v>5005</v>
      </c>
      <c r="G18" s="403">
        <f>Data!AU49</f>
        <v>583.80999999999995</v>
      </c>
      <c r="H18" s="403">
        <f>Data!AV49</f>
        <v>5005</v>
      </c>
      <c r="I18" s="403">
        <f>Data!AW49</f>
        <v>0</v>
      </c>
      <c r="J18" s="403">
        <f>Data!AX49</f>
        <v>583.80999999999995</v>
      </c>
      <c r="K18" s="403">
        <f>Data!AY49</f>
        <v>5005</v>
      </c>
      <c r="L18" s="403">
        <f>Data!AZ49</f>
        <v>0</v>
      </c>
      <c r="M18" s="403">
        <f>Data!BA49</f>
        <v>583.80999999999995</v>
      </c>
    </row>
    <row r="19" spans="1:13" x14ac:dyDescent="0.25">
      <c r="B19" t="s">
        <v>384</v>
      </c>
      <c r="E19" s="404">
        <f>Data!AS50</f>
        <v>0</v>
      </c>
      <c r="F19" s="404">
        <f>Data!AT50</f>
        <v>5005</v>
      </c>
      <c r="G19" s="404">
        <f>Data!AU50</f>
        <v>583.80999999999995</v>
      </c>
      <c r="H19" s="404">
        <f>Data!AV50</f>
        <v>5005</v>
      </c>
      <c r="I19" s="404">
        <f>Data!AW50</f>
        <v>0</v>
      </c>
      <c r="J19" s="404">
        <f>Data!AX50</f>
        <v>583.80999999999995</v>
      </c>
      <c r="K19" s="404">
        <f>Data!AY50</f>
        <v>5005</v>
      </c>
      <c r="L19" s="404">
        <f>Data!AZ50</f>
        <v>0</v>
      </c>
      <c r="M19" s="404">
        <f>Data!BA50</f>
        <v>583.80999999999995</v>
      </c>
    </row>
    <row r="20" spans="1:13" x14ac:dyDescent="0.25">
      <c r="E20" s="403">
        <f>Data!AS51</f>
        <v>0</v>
      </c>
      <c r="F20" s="403">
        <f>Data!AT51</f>
        <v>0</v>
      </c>
      <c r="G20" s="403">
        <f>Data!AU51</f>
        <v>0</v>
      </c>
      <c r="H20" s="403">
        <f>Data!AV51</f>
        <v>0</v>
      </c>
      <c r="I20" s="403">
        <f>Data!AW51</f>
        <v>0</v>
      </c>
      <c r="J20" s="403">
        <f>Data!AX51</f>
        <v>0</v>
      </c>
      <c r="K20" s="403">
        <f>Data!AY51</f>
        <v>0</v>
      </c>
      <c r="L20" s="403">
        <f>Data!AZ51</f>
        <v>0</v>
      </c>
      <c r="M20" s="403">
        <f>Data!BA51</f>
        <v>0</v>
      </c>
    </row>
    <row r="21" spans="1:13" x14ac:dyDescent="0.25">
      <c r="A21" s="397" t="s">
        <v>389</v>
      </c>
      <c r="E21" s="405">
        <f>Data!AS52</f>
        <v>0</v>
      </c>
      <c r="F21" s="405">
        <f>Data!AT52</f>
        <v>5005</v>
      </c>
      <c r="G21" s="405">
        <f>Data!AU52</f>
        <v>583.80999999999995</v>
      </c>
      <c r="H21" s="405">
        <f>Data!AV52</f>
        <v>5005</v>
      </c>
      <c r="I21" s="405">
        <f>Data!AW52</f>
        <v>0</v>
      </c>
      <c r="J21" s="405">
        <f>Data!AX52</f>
        <v>583.80999999999995</v>
      </c>
      <c r="K21" s="405">
        <f>Data!AY52</f>
        <v>5005</v>
      </c>
      <c r="L21" s="405">
        <f>Data!AZ52</f>
        <v>0</v>
      </c>
      <c r="M21" s="405">
        <f>Data!BA52</f>
        <v>583.80999999999995</v>
      </c>
    </row>
    <row r="22" spans="1:13" x14ac:dyDescent="0.25">
      <c r="E22" s="403">
        <f>Data!AS53</f>
        <v>0</v>
      </c>
      <c r="F22" s="403">
        <f>Data!AT53</f>
        <v>0</v>
      </c>
      <c r="G22" s="403">
        <f>Data!AU53</f>
        <v>0</v>
      </c>
      <c r="H22" s="403">
        <f>Data!AV53</f>
        <v>0</v>
      </c>
      <c r="I22" s="403">
        <f>Data!AW53</f>
        <v>0</v>
      </c>
      <c r="J22" s="403">
        <f>Data!AX53</f>
        <v>0</v>
      </c>
      <c r="K22" s="403">
        <f>Data!AY53</f>
        <v>0</v>
      </c>
      <c r="L22" s="403">
        <f>Data!AZ53</f>
        <v>0</v>
      </c>
      <c r="M22" s="403">
        <f>Data!BA53</f>
        <v>0</v>
      </c>
    </row>
    <row r="23" spans="1:13" x14ac:dyDescent="0.25">
      <c r="A23" s="398" t="s">
        <v>390</v>
      </c>
      <c r="E23" s="401">
        <f>Data!AS54</f>
        <v>17</v>
      </c>
      <c r="F23" s="402">
        <f>Data!AT54</f>
        <v>1419797.3000000003</v>
      </c>
      <c r="G23" s="402">
        <f>Data!AU54</f>
        <v>494147.86999999994</v>
      </c>
      <c r="H23" s="402">
        <f>Data!AV54</f>
        <v>1483219.4000000001</v>
      </c>
      <c r="I23" s="402">
        <f>Data!AW54</f>
        <v>212500</v>
      </c>
      <c r="J23" s="402">
        <f>Data!AX54</f>
        <v>304445.1803040001</v>
      </c>
      <c r="K23" s="402">
        <f>Data!AY54</f>
        <v>1483219.4000000001</v>
      </c>
      <c r="L23" s="402">
        <f>Data!AZ54</f>
        <v>233750</v>
      </c>
      <c r="M23" s="402">
        <f>Data!BA54</f>
        <v>291845.115024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Office of the Governor&amp;R&amp;"Arial"&amp;10 Agency 180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638</vt:i4>
      </vt:variant>
    </vt:vector>
  </HeadingPairs>
  <TitlesOfParts>
    <vt:vector size="647" baseType="lpstr">
      <vt:lpstr>GVCA|0001-00</vt:lpstr>
      <vt:lpstr>GVCA|0349-00</vt:lpstr>
      <vt:lpstr>GVCA|0475-05</vt:lpstr>
      <vt:lpstr>GVCA|0344-30</vt:lpstr>
      <vt:lpstr>Data</vt:lpstr>
      <vt:lpstr>Benefits</vt:lpstr>
      <vt:lpstr>B6</vt:lpstr>
      <vt:lpstr>Summary</vt:lpstr>
      <vt:lpstr>FundSummary</vt:lpstr>
      <vt:lpstr>'GVCA|0001-00'!AdjGroupHlth</vt:lpstr>
      <vt:lpstr>'GVCA|0344-30'!AdjGroupHlth</vt:lpstr>
      <vt:lpstr>'GVCA|0349-00'!AdjGroupHlth</vt:lpstr>
      <vt:lpstr>'GVCA|0475-05'!AdjGroupHlth</vt:lpstr>
      <vt:lpstr>AdjGroupHlth</vt:lpstr>
      <vt:lpstr>'GVCA|0001-00'!AdjGroupSalary</vt:lpstr>
      <vt:lpstr>'GVCA|0344-30'!AdjGroupSalary</vt:lpstr>
      <vt:lpstr>'GVCA|0349-00'!AdjGroupSalary</vt:lpstr>
      <vt:lpstr>'GVCA|0475-05'!AdjGroupSalary</vt:lpstr>
      <vt:lpstr>AdjGroupSalary</vt:lpstr>
      <vt:lpstr>'GVCA|0001-00'!AdjGroupVB</vt:lpstr>
      <vt:lpstr>'GVCA|0344-30'!AdjGroupVB</vt:lpstr>
      <vt:lpstr>'GVCA|0349-00'!AdjGroupVB</vt:lpstr>
      <vt:lpstr>'GVCA|0475-05'!AdjGroupVB</vt:lpstr>
      <vt:lpstr>AdjGroupVB</vt:lpstr>
      <vt:lpstr>'GVCA|0001-00'!AdjGroupVBBY</vt:lpstr>
      <vt:lpstr>'GVCA|0344-30'!AdjGroupVBBY</vt:lpstr>
      <vt:lpstr>'GVCA|0349-00'!AdjGroupVBBY</vt:lpstr>
      <vt:lpstr>'GVCA|0475-05'!AdjGroupVBBY</vt:lpstr>
      <vt:lpstr>AdjGroupVBBY</vt:lpstr>
      <vt:lpstr>'GVCA|0001-00'!AdjPermHlth</vt:lpstr>
      <vt:lpstr>'GVCA|0344-30'!AdjPermHlth</vt:lpstr>
      <vt:lpstr>'GVCA|0349-00'!AdjPermHlth</vt:lpstr>
      <vt:lpstr>'GVCA|0475-05'!AdjPermHlth</vt:lpstr>
      <vt:lpstr>AdjPermHlth</vt:lpstr>
      <vt:lpstr>'GVCA|0001-00'!AdjPermHlthBY</vt:lpstr>
      <vt:lpstr>'GVCA|0344-30'!AdjPermHlthBY</vt:lpstr>
      <vt:lpstr>'GVCA|0349-00'!AdjPermHlthBY</vt:lpstr>
      <vt:lpstr>'GVCA|0475-05'!AdjPermHlthBY</vt:lpstr>
      <vt:lpstr>AdjPermHlthBY</vt:lpstr>
      <vt:lpstr>'GVCA|0001-00'!AdjPermSalary</vt:lpstr>
      <vt:lpstr>'GVCA|0344-30'!AdjPermSalary</vt:lpstr>
      <vt:lpstr>'GVCA|0349-00'!AdjPermSalary</vt:lpstr>
      <vt:lpstr>'GVCA|0475-05'!AdjPermSalary</vt:lpstr>
      <vt:lpstr>AdjPermSalary</vt:lpstr>
      <vt:lpstr>'GVCA|0001-00'!AdjPermVB</vt:lpstr>
      <vt:lpstr>'GVCA|0344-30'!AdjPermVB</vt:lpstr>
      <vt:lpstr>'GVCA|0349-00'!AdjPermVB</vt:lpstr>
      <vt:lpstr>'GVCA|0475-05'!AdjPermVB</vt:lpstr>
      <vt:lpstr>AdjPermVB</vt:lpstr>
      <vt:lpstr>'GVCA|0001-00'!AdjPermVBBY</vt:lpstr>
      <vt:lpstr>'GVCA|0344-30'!AdjPermVBBY</vt:lpstr>
      <vt:lpstr>'GVCA|0349-00'!AdjPermVBBY</vt:lpstr>
      <vt:lpstr>'GVCA|0475-05'!AdjPermVBBY</vt:lpstr>
      <vt:lpstr>AdjPermVBBY</vt:lpstr>
      <vt:lpstr>'GVCA|0001-00'!AdjustedTotal</vt:lpstr>
      <vt:lpstr>'GVCA|0344-30'!AdjustedTotal</vt:lpstr>
      <vt:lpstr>'GVCA|0349-00'!AdjustedTotal</vt:lpstr>
      <vt:lpstr>'GVCA|0475-05'!AdjustedTotal</vt:lpstr>
      <vt:lpstr>AdjustedTotal</vt:lpstr>
      <vt:lpstr>'GVCA|0001-00'!AgencyNum</vt:lpstr>
      <vt:lpstr>'GVCA|0344-30'!AgencyNum</vt:lpstr>
      <vt:lpstr>'GVCA|0349-00'!AgencyNum</vt:lpstr>
      <vt:lpstr>'GVCA|0475-05'!AgencyNum</vt:lpstr>
      <vt:lpstr>AgencyNum</vt:lpstr>
      <vt:lpstr>'GVCA|0001-00'!AppropFTP</vt:lpstr>
      <vt:lpstr>'GVCA|0344-30'!AppropFTP</vt:lpstr>
      <vt:lpstr>'GVCA|0349-00'!AppropFTP</vt:lpstr>
      <vt:lpstr>'GVCA|0475-05'!AppropFTP</vt:lpstr>
      <vt:lpstr>AppropFTP</vt:lpstr>
      <vt:lpstr>'GVCA|0001-00'!AppropTotal</vt:lpstr>
      <vt:lpstr>'GVCA|0344-30'!AppropTotal</vt:lpstr>
      <vt:lpstr>'GVCA|0349-00'!AppropTotal</vt:lpstr>
      <vt:lpstr>'GVCA|0475-05'!AppropTotal</vt:lpstr>
      <vt:lpstr>AppropTotal</vt:lpstr>
      <vt:lpstr>'GVCA|0001-00'!AtZHealth</vt:lpstr>
      <vt:lpstr>'GVCA|0344-30'!AtZHealth</vt:lpstr>
      <vt:lpstr>'GVCA|0349-00'!AtZHealth</vt:lpstr>
      <vt:lpstr>'GVCA|0475-05'!AtZHealth</vt:lpstr>
      <vt:lpstr>AtZHealth</vt:lpstr>
      <vt:lpstr>'GVCA|0001-00'!AtZSalary</vt:lpstr>
      <vt:lpstr>'GVCA|0344-30'!AtZSalary</vt:lpstr>
      <vt:lpstr>'GVCA|0349-00'!AtZSalary</vt:lpstr>
      <vt:lpstr>'GVCA|0475-05'!AtZSalary</vt:lpstr>
      <vt:lpstr>AtZSalary</vt:lpstr>
      <vt:lpstr>'GVCA|0001-00'!AtZTotal</vt:lpstr>
      <vt:lpstr>'GVCA|0344-30'!AtZTotal</vt:lpstr>
      <vt:lpstr>'GVCA|0349-00'!AtZTotal</vt:lpstr>
      <vt:lpstr>'GVCA|0475-05'!AtZTotal</vt:lpstr>
      <vt:lpstr>AtZTotal</vt:lpstr>
      <vt:lpstr>'GVCA|0001-00'!AtZVarBen</vt:lpstr>
      <vt:lpstr>'GVCA|0344-30'!AtZVarBen</vt:lpstr>
      <vt:lpstr>'GVCA|0349-00'!AtZVarBen</vt:lpstr>
      <vt:lpstr>'GVCA|0475-05'!AtZVarBen</vt:lpstr>
      <vt:lpstr>AtZVarBen</vt:lpstr>
      <vt:lpstr>'GVCA|0001-00'!BudgetUnit</vt:lpstr>
      <vt:lpstr>'GVCA|0344-30'!BudgetUnit</vt:lpstr>
      <vt:lpstr>'GVCA|0349-00'!BudgetUnit</vt:lpstr>
      <vt:lpstr>'GVCA|0475-05'!BudgetUnit</vt:lpstr>
      <vt:lpstr>BudgetUnit</vt:lpstr>
      <vt:lpstr>BudgetYear</vt:lpstr>
      <vt:lpstr>CECGroup</vt:lpstr>
      <vt:lpstr>'GVCA|0001-00'!CECOrigElectSalary</vt:lpstr>
      <vt:lpstr>'GVCA|0344-30'!CECOrigElectSalary</vt:lpstr>
      <vt:lpstr>'GVCA|0349-00'!CECOrigElectSalary</vt:lpstr>
      <vt:lpstr>'GVCA|0475-05'!CECOrigElectSalary</vt:lpstr>
      <vt:lpstr>CECOrigElectSalary</vt:lpstr>
      <vt:lpstr>'GVCA|0001-00'!CECOrigElectVB</vt:lpstr>
      <vt:lpstr>'GVCA|0344-30'!CECOrigElectVB</vt:lpstr>
      <vt:lpstr>'GVCA|0349-00'!CECOrigElectVB</vt:lpstr>
      <vt:lpstr>'GVCA|0475-05'!CECOrigElectVB</vt:lpstr>
      <vt:lpstr>CECOrigElectVB</vt:lpstr>
      <vt:lpstr>'GVCA|0001-00'!CECOrigGroupSalary</vt:lpstr>
      <vt:lpstr>'GVCA|0344-30'!CECOrigGroupSalary</vt:lpstr>
      <vt:lpstr>'GVCA|0349-00'!CECOrigGroupSalary</vt:lpstr>
      <vt:lpstr>'GVCA|0475-05'!CECOrigGroupSalary</vt:lpstr>
      <vt:lpstr>CECOrigGroupSalary</vt:lpstr>
      <vt:lpstr>'GVCA|0001-00'!CECOrigGroupVB</vt:lpstr>
      <vt:lpstr>'GVCA|0344-30'!CECOrigGroupVB</vt:lpstr>
      <vt:lpstr>'GVCA|0349-00'!CECOrigGroupVB</vt:lpstr>
      <vt:lpstr>'GVCA|0475-05'!CECOrigGroupVB</vt:lpstr>
      <vt:lpstr>CECOrigGroupVB</vt:lpstr>
      <vt:lpstr>'GVCA|0001-00'!CECOrigPermSalary</vt:lpstr>
      <vt:lpstr>'GVCA|0344-30'!CECOrigPermSalary</vt:lpstr>
      <vt:lpstr>'GVCA|0349-00'!CECOrigPermSalary</vt:lpstr>
      <vt:lpstr>'GVCA|0475-05'!CECOrigPermSalary</vt:lpstr>
      <vt:lpstr>CECOrigPermSalary</vt:lpstr>
      <vt:lpstr>'GVCA|0001-00'!CECOrigPermVB</vt:lpstr>
      <vt:lpstr>'GVCA|0344-30'!CECOrigPermVB</vt:lpstr>
      <vt:lpstr>'GVCA|0349-00'!CECOrigPermVB</vt:lpstr>
      <vt:lpstr>'GVCA|0475-05'!CECOrigPermVB</vt:lpstr>
      <vt:lpstr>CECOrigPermVB</vt:lpstr>
      <vt:lpstr>CECPerm</vt:lpstr>
      <vt:lpstr>'GVCA|0001-00'!CECpermCalc</vt:lpstr>
      <vt:lpstr>'GVCA|0344-30'!CECpermCalc</vt:lpstr>
      <vt:lpstr>'GVCA|0349-00'!CECpermCalc</vt:lpstr>
      <vt:lpstr>'GVCA|0475-05'!CECpermCalc</vt:lpstr>
      <vt:lpstr>CECpermCalc</vt:lpstr>
      <vt:lpstr>'GVCA|0001-00'!Department</vt:lpstr>
      <vt:lpstr>'GVCA|0344-30'!Department</vt:lpstr>
      <vt:lpstr>'GVCA|0349-00'!Department</vt:lpstr>
      <vt:lpstr>'GVCA|0475-05'!Department</vt:lpstr>
      <vt:lpstr>Department</vt:lpstr>
      <vt:lpstr>DHR</vt:lpstr>
      <vt:lpstr>DHRBY</vt:lpstr>
      <vt:lpstr>DHRCHG</vt:lpstr>
      <vt:lpstr>'GVCA|0001-00'!Division</vt:lpstr>
      <vt:lpstr>'GVCA|0344-30'!Division</vt:lpstr>
      <vt:lpstr>'GVCA|0349-00'!Division</vt:lpstr>
      <vt:lpstr>'GVCA|0475-05'!Division</vt:lpstr>
      <vt:lpstr>Division</vt:lpstr>
      <vt:lpstr>'GVCA|0001-00'!DUCECElect</vt:lpstr>
      <vt:lpstr>'GVCA|0344-30'!DUCECElect</vt:lpstr>
      <vt:lpstr>'GVCA|0349-00'!DUCECElect</vt:lpstr>
      <vt:lpstr>'GVCA|0475-05'!DUCECElect</vt:lpstr>
      <vt:lpstr>DUCECElect</vt:lpstr>
      <vt:lpstr>'GVCA|0001-00'!DUCECGroup</vt:lpstr>
      <vt:lpstr>'GVCA|0344-30'!DUCECGroup</vt:lpstr>
      <vt:lpstr>'GVCA|0349-00'!DUCECGroup</vt:lpstr>
      <vt:lpstr>'GVCA|0475-05'!DUCECGroup</vt:lpstr>
      <vt:lpstr>DUCECGroup</vt:lpstr>
      <vt:lpstr>'GVCA|0001-00'!DUCECPerm</vt:lpstr>
      <vt:lpstr>'GVCA|0344-30'!DUCECPerm</vt:lpstr>
      <vt:lpstr>'GVCA|0349-00'!DUCECPerm</vt:lpstr>
      <vt:lpstr>'GVCA|0475-05'!DUCECPerm</vt:lpstr>
      <vt:lpstr>DUCECPerm</vt:lpstr>
      <vt:lpstr>'GVCA|0001-00'!DUEleven</vt:lpstr>
      <vt:lpstr>'GVCA|0344-30'!DUEleven</vt:lpstr>
      <vt:lpstr>'GVCA|0349-00'!DUEleven</vt:lpstr>
      <vt:lpstr>'GVCA|0475-05'!DUEleven</vt:lpstr>
      <vt:lpstr>DUEleven</vt:lpstr>
      <vt:lpstr>'GVCA|0001-00'!DUHealthBen</vt:lpstr>
      <vt:lpstr>'GVCA|0344-30'!DUHealthBen</vt:lpstr>
      <vt:lpstr>'GVCA|0349-00'!DUHealthBen</vt:lpstr>
      <vt:lpstr>'GVCA|0475-05'!DUHealthBen</vt:lpstr>
      <vt:lpstr>DUHealthBen</vt:lpstr>
      <vt:lpstr>'GVCA|0001-00'!DUNine</vt:lpstr>
      <vt:lpstr>'GVCA|0344-30'!DUNine</vt:lpstr>
      <vt:lpstr>'GVCA|0349-00'!DUNine</vt:lpstr>
      <vt:lpstr>'GVCA|0475-05'!DUNine</vt:lpstr>
      <vt:lpstr>DUNine</vt:lpstr>
      <vt:lpstr>'GVCA|0001-00'!DUThirteen</vt:lpstr>
      <vt:lpstr>'GVCA|0344-30'!DUThirteen</vt:lpstr>
      <vt:lpstr>'GVCA|0349-00'!DUThirteen</vt:lpstr>
      <vt:lpstr>'GVCA|0475-05'!DUThirteen</vt:lpstr>
      <vt:lpstr>DUThirteen</vt:lpstr>
      <vt:lpstr>'GVCA|0001-00'!DUVariableBen</vt:lpstr>
      <vt:lpstr>'GVCA|0344-30'!DUVariableBen</vt:lpstr>
      <vt:lpstr>'GVCA|0349-00'!DUVariableBen</vt:lpstr>
      <vt:lpstr>'GVCA|0475-05'!DUVariableBen</vt:lpstr>
      <vt:lpstr>DUVariableBen</vt:lpstr>
      <vt:lpstr>'GVCA|0001-00'!Elect_chg_health</vt:lpstr>
      <vt:lpstr>'GVCA|0344-30'!Elect_chg_health</vt:lpstr>
      <vt:lpstr>'GVCA|0349-00'!Elect_chg_health</vt:lpstr>
      <vt:lpstr>'GVCA|0475-05'!Elect_chg_health</vt:lpstr>
      <vt:lpstr>Elect_chg_health</vt:lpstr>
      <vt:lpstr>'GVCA|0001-00'!Elect_chg_Var</vt:lpstr>
      <vt:lpstr>'GVCA|0344-30'!Elect_chg_Var</vt:lpstr>
      <vt:lpstr>'GVCA|0349-00'!Elect_chg_Var</vt:lpstr>
      <vt:lpstr>'GVCA|0475-05'!Elect_chg_Var</vt:lpstr>
      <vt:lpstr>Elect_chg_Var</vt:lpstr>
      <vt:lpstr>'GVCA|0001-00'!elect_FTP</vt:lpstr>
      <vt:lpstr>'GVCA|0344-30'!elect_FTP</vt:lpstr>
      <vt:lpstr>'GVCA|0349-00'!elect_FTP</vt:lpstr>
      <vt:lpstr>'GVCA|0475-05'!elect_FTP</vt:lpstr>
      <vt:lpstr>elect_FTP</vt:lpstr>
      <vt:lpstr>'GVCA|0001-00'!Elect_health</vt:lpstr>
      <vt:lpstr>'GVCA|0344-30'!Elect_health</vt:lpstr>
      <vt:lpstr>'GVCA|0349-00'!Elect_health</vt:lpstr>
      <vt:lpstr>'GVCA|0475-05'!Elect_health</vt:lpstr>
      <vt:lpstr>Elect_health</vt:lpstr>
      <vt:lpstr>'GVCA|0001-00'!Elect_name</vt:lpstr>
      <vt:lpstr>'GVCA|0344-30'!Elect_name</vt:lpstr>
      <vt:lpstr>'GVCA|0349-00'!Elect_name</vt:lpstr>
      <vt:lpstr>'GVCA|0475-05'!Elect_name</vt:lpstr>
      <vt:lpstr>Elect_name</vt:lpstr>
      <vt:lpstr>'GVCA|0001-00'!Elect_salary</vt:lpstr>
      <vt:lpstr>'GVCA|0344-30'!Elect_salary</vt:lpstr>
      <vt:lpstr>'GVCA|0349-00'!Elect_salary</vt:lpstr>
      <vt:lpstr>'GVCA|0475-05'!Elect_salary</vt:lpstr>
      <vt:lpstr>Elect_salary</vt:lpstr>
      <vt:lpstr>'GVCA|0001-00'!Elect_Var</vt:lpstr>
      <vt:lpstr>'GVCA|0344-30'!Elect_Var</vt:lpstr>
      <vt:lpstr>'GVCA|0349-00'!Elect_Var</vt:lpstr>
      <vt:lpstr>'GVCA|0475-05'!Elect_Var</vt:lpstr>
      <vt:lpstr>Elect_Var</vt:lpstr>
      <vt:lpstr>'GVCA|0001-00'!Elect_VarBen</vt:lpstr>
      <vt:lpstr>'GVCA|0344-30'!Elect_VarBen</vt:lpstr>
      <vt:lpstr>'GVCA|0349-00'!Elect_VarBen</vt:lpstr>
      <vt:lpstr>'GVCA|0475-05'!Elect_VarBen</vt:lpstr>
      <vt:lpstr>Elect_VarBen</vt:lpstr>
      <vt:lpstr>ElectVB</vt:lpstr>
      <vt:lpstr>ElectVBBY</vt:lpstr>
      <vt:lpstr>ElectVBCHG</vt:lpstr>
      <vt:lpstr>FillRate_Avg</vt:lpstr>
      <vt:lpstr>'GVCA|0001-00'!FiscalYear</vt:lpstr>
      <vt:lpstr>'GVCA|0344-30'!FiscalYear</vt:lpstr>
      <vt:lpstr>'GVCA|0349-00'!FiscalYear</vt:lpstr>
      <vt:lpstr>'GVCA|0475-05'!FiscalYear</vt:lpstr>
      <vt:lpstr>FiscalYear</vt:lpstr>
      <vt:lpstr>'GVCA|0001-00'!FundName</vt:lpstr>
      <vt:lpstr>'GVCA|0344-30'!FundName</vt:lpstr>
      <vt:lpstr>'GVCA|0349-00'!FundName</vt:lpstr>
      <vt:lpstr>'GVCA|0475-05'!FundName</vt:lpstr>
      <vt:lpstr>FundName</vt:lpstr>
      <vt:lpstr>'GVCA|0001-00'!FundNum</vt:lpstr>
      <vt:lpstr>'GVCA|0344-30'!FundNum</vt:lpstr>
      <vt:lpstr>'GVCA|0349-00'!FundNum</vt:lpstr>
      <vt:lpstr>'GVCA|0475-05'!FundNum</vt:lpstr>
      <vt:lpstr>FundNum</vt:lpstr>
      <vt:lpstr>'GVCA|0001-00'!FundNumber</vt:lpstr>
      <vt:lpstr>'GVCA|0344-30'!FundNumber</vt:lpstr>
      <vt:lpstr>'GVCA|0349-00'!FundNumber</vt:lpstr>
      <vt:lpstr>'GVCA|0475-05'!FundNumber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'GVCA|0001-00'!Group_name</vt:lpstr>
      <vt:lpstr>'GVCA|0344-30'!Group_name</vt:lpstr>
      <vt:lpstr>'GVCA|0349-00'!Group_name</vt:lpstr>
      <vt:lpstr>'GVCA|0475-05'!Group_name</vt:lpstr>
      <vt:lpstr>Group_name</vt:lpstr>
      <vt:lpstr>'GVCA|0001-00'!GroupFxdBen</vt:lpstr>
      <vt:lpstr>'GVCA|0344-30'!GroupFxdBen</vt:lpstr>
      <vt:lpstr>'GVCA|0349-00'!GroupFxdBen</vt:lpstr>
      <vt:lpstr>'GVCA|0475-05'!GroupFxdBen</vt:lpstr>
      <vt:lpstr>GroupFxdBen</vt:lpstr>
      <vt:lpstr>'GVCA|0001-00'!GroupSalary</vt:lpstr>
      <vt:lpstr>'GVCA|0344-30'!GroupSalary</vt:lpstr>
      <vt:lpstr>'GVCA|0349-00'!GroupSalary</vt:lpstr>
      <vt:lpstr>'GVCA|0475-05'!GroupSalary</vt:lpstr>
      <vt:lpstr>GroupSalary</vt:lpstr>
      <vt:lpstr>'GVCA|0001-00'!GroupVarBen</vt:lpstr>
      <vt:lpstr>'GVCA|0344-30'!GroupVarBen</vt:lpstr>
      <vt:lpstr>'GVCA|0349-00'!GroupVarBen</vt:lpstr>
      <vt:lpstr>'GVCA|0475-05'!GroupVarBen</vt:lpstr>
      <vt:lpstr>GroupVarBen</vt:lpstr>
      <vt:lpstr>GroupVB</vt:lpstr>
      <vt:lpstr>GroupVBBY</vt:lpstr>
      <vt:lpstr>GroupVBCHG</vt:lpstr>
      <vt:lpstr>GVCA000100col_1_27TH_PP</vt:lpstr>
      <vt:lpstr>GVCA000100col_DHR</vt:lpstr>
      <vt:lpstr>GVCA000100col_DHR_BY</vt:lpstr>
      <vt:lpstr>GVCA000100col_DHR_CHG</vt:lpstr>
      <vt:lpstr>GVCA000100col_FTI_SALARY_ELECT</vt:lpstr>
      <vt:lpstr>GVCA000100col_FTI_SALARY_PERM</vt:lpstr>
      <vt:lpstr>GVCA000100col_FTI_SALARY_SSDI</vt:lpstr>
      <vt:lpstr>GVCA000100col_Group_Ben</vt:lpstr>
      <vt:lpstr>GVCA000100col_Group_Salary</vt:lpstr>
      <vt:lpstr>GVCA000100col_HEALTH_ELECT</vt:lpstr>
      <vt:lpstr>GVCA000100col_HEALTH_ELECT_BY</vt:lpstr>
      <vt:lpstr>GVCA000100col_HEALTH_ELECT_CHG</vt:lpstr>
      <vt:lpstr>GVCA000100col_HEALTH_PERM</vt:lpstr>
      <vt:lpstr>GVCA000100col_HEALTH_PERM_BY</vt:lpstr>
      <vt:lpstr>GVCA000100col_HEALTH_PERM_CHG</vt:lpstr>
      <vt:lpstr>GVCA000100col_INC_FTI</vt:lpstr>
      <vt:lpstr>GVCA000100col_LIFE_INS</vt:lpstr>
      <vt:lpstr>GVCA000100col_LIFE_INS_BY</vt:lpstr>
      <vt:lpstr>GVCA000100col_LIFE_INS_CHG</vt:lpstr>
      <vt:lpstr>GVCA000100col_RETIREMENT</vt:lpstr>
      <vt:lpstr>GVCA000100col_RETIREMENT_BY</vt:lpstr>
      <vt:lpstr>GVCA000100col_RETIREMENT_CHG</vt:lpstr>
      <vt:lpstr>GVCA000100col_ROWS_PER_PCN</vt:lpstr>
      <vt:lpstr>GVCA000100col_SICK</vt:lpstr>
      <vt:lpstr>GVCA000100col_SICK_BY</vt:lpstr>
      <vt:lpstr>GVCA000100col_SICK_CHG</vt:lpstr>
      <vt:lpstr>GVCA000100col_SSDI</vt:lpstr>
      <vt:lpstr>GVCA000100col_SSDI_BY</vt:lpstr>
      <vt:lpstr>GVCA000100col_SSDI_CHG</vt:lpstr>
      <vt:lpstr>GVCA000100col_SSHI</vt:lpstr>
      <vt:lpstr>GVCA000100col_SSHI_BY</vt:lpstr>
      <vt:lpstr>GVCA000100col_SSHI_CHGv</vt:lpstr>
      <vt:lpstr>GVCA000100col_TOT_VB_ELECT</vt:lpstr>
      <vt:lpstr>GVCA000100col_TOT_VB_ELECT_BY</vt:lpstr>
      <vt:lpstr>GVCA000100col_TOT_VB_ELECT_CHG</vt:lpstr>
      <vt:lpstr>GVCA000100col_TOT_VB_PERM</vt:lpstr>
      <vt:lpstr>GVCA000100col_TOT_VB_PERM_BY</vt:lpstr>
      <vt:lpstr>GVCA000100col_TOT_VB_PERM_CHG</vt:lpstr>
      <vt:lpstr>GVCA000100col_TOTAL_ELECT_PCN_FTI</vt:lpstr>
      <vt:lpstr>GVCA000100col_TOTAL_ELECT_PCN_FTI_ALT</vt:lpstr>
      <vt:lpstr>GVCA000100col_TOTAL_PERM_PCN_FTI</vt:lpstr>
      <vt:lpstr>GVCA000100col_UNEMP_INS</vt:lpstr>
      <vt:lpstr>GVCA000100col_UNEMP_INS_BY</vt:lpstr>
      <vt:lpstr>GVCA000100col_UNEMP_INS_CHG</vt:lpstr>
      <vt:lpstr>GVCA000100col_WORKERS_COMP</vt:lpstr>
      <vt:lpstr>GVCA000100col_WORKERS_COMP_BY</vt:lpstr>
      <vt:lpstr>GVCA000100col_WORKERS_COMP_CHG</vt:lpstr>
      <vt:lpstr>GVCA034900col_1_27TH_PP</vt:lpstr>
      <vt:lpstr>GVCA034900col_DHR</vt:lpstr>
      <vt:lpstr>GVCA034900col_DHR_BY</vt:lpstr>
      <vt:lpstr>GVCA034900col_DHR_CHG</vt:lpstr>
      <vt:lpstr>GVCA034900col_FTI_SALARY_ELECT</vt:lpstr>
      <vt:lpstr>GVCA034900col_FTI_SALARY_PERM</vt:lpstr>
      <vt:lpstr>GVCA034900col_FTI_SALARY_SSDI</vt:lpstr>
      <vt:lpstr>GVCA034900col_Group_Ben</vt:lpstr>
      <vt:lpstr>GVCA034900col_Group_Salary</vt:lpstr>
      <vt:lpstr>GVCA034900col_HEALTH_ELECT</vt:lpstr>
      <vt:lpstr>GVCA034900col_HEALTH_ELECT_BY</vt:lpstr>
      <vt:lpstr>GVCA034900col_HEALTH_ELECT_CHG</vt:lpstr>
      <vt:lpstr>GVCA034900col_HEALTH_PERM</vt:lpstr>
      <vt:lpstr>GVCA034900col_HEALTH_PERM_BY</vt:lpstr>
      <vt:lpstr>GVCA034900col_HEALTH_PERM_CHG</vt:lpstr>
      <vt:lpstr>GVCA034900col_INC_FTI</vt:lpstr>
      <vt:lpstr>GVCA034900col_LIFE_INS</vt:lpstr>
      <vt:lpstr>GVCA034900col_LIFE_INS_BY</vt:lpstr>
      <vt:lpstr>GVCA034900col_LIFE_INS_CHG</vt:lpstr>
      <vt:lpstr>GVCA034900col_RETIREMENT</vt:lpstr>
      <vt:lpstr>GVCA034900col_RETIREMENT_BY</vt:lpstr>
      <vt:lpstr>GVCA034900col_RETIREMENT_CHG</vt:lpstr>
      <vt:lpstr>GVCA034900col_ROWS_PER_PCN</vt:lpstr>
      <vt:lpstr>GVCA034900col_SICK</vt:lpstr>
      <vt:lpstr>GVCA034900col_SICK_BY</vt:lpstr>
      <vt:lpstr>GVCA034900col_SICK_CHG</vt:lpstr>
      <vt:lpstr>GVCA034900col_SSDI</vt:lpstr>
      <vt:lpstr>GVCA034900col_SSDI_BY</vt:lpstr>
      <vt:lpstr>GVCA034900col_SSDI_CHG</vt:lpstr>
      <vt:lpstr>GVCA034900col_SSHI</vt:lpstr>
      <vt:lpstr>GVCA034900col_SSHI_BY</vt:lpstr>
      <vt:lpstr>GVCA034900col_SSHI_CHGv</vt:lpstr>
      <vt:lpstr>GVCA034900col_TOT_VB_ELECT</vt:lpstr>
      <vt:lpstr>GVCA034900col_TOT_VB_ELECT_BY</vt:lpstr>
      <vt:lpstr>GVCA034900col_TOT_VB_ELECT_CHG</vt:lpstr>
      <vt:lpstr>GVCA034900col_TOT_VB_PERM</vt:lpstr>
      <vt:lpstr>GVCA034900col_TOT_VB_PERM_BY</vt:lpstr>
      <vt:lpstr>GVCA034900col_TOT_VB_PERM_CHG</vt:lpstr>
      <vt:lpstr>GVCA034900col_TOTAL_ELECT_PCN_FTI</vt:lpstr>
      <vt:lpstr>GVCA034900col_TOTAL_ELECT_PCN_FTI_ALT</vt:lpstr>
      <vt:lpstr>GVCA034900col_TOTAL_PERM_PCN_FTI</vt:lpstr>
      <vt:lpstr>GVCA034900col_UNEMP_INS</vt:lpstr>
      <vt:lpstr>GVCA034900col_UNEMP_INS_BY</vt:lpstr>
      <vt:lpstr>GVCA034900col_UNEMP_INS_CHG</vt:lpstr>
      <vt:lpstr>GVCA034900col_WORKERS_COMP</vt:lpstr>
      <vt:lpstr>GVCA034900col_WORKERS_COMP_BY</vt:lpstr>
      <vt:lpstr>GVCA034900col_WORKERS_COMP_CHG</vt:lpstr>
      <vt:lpstr>GVCA047505col_1_27TH_PP</vt:lpstr>
      <vt:lpstr>GVCA047505col_DHR</vt:lpstr>
      <vt:lpstr>GVCA047505col_DHR_BY</vt:lpstr>
      <vt:lpstr>GVCA047505col_DHR_CHG</vt:lpstr>
      <vt:lpstr>GVCA047505col_FTI_SALARY_ELECT</vt:lpstr>
      <vt:lpstr>GVCA047505col_FTI_SALARY_PERM</vt:lpstr>
      <vt:lpstr>GVCA047505col_FTI_SALARY_SSDI</vt:lpstr>
      <vt:lpstr>GVCA047505col_Group_Ben</vt:lpstr>
      <vt:lpstr>GVCA047505col_Group_Salary</vt:lpstr>
      <vt:lpstr>GVCA047505col_HEALTH_ELECT</vt:lpstr>
      <vt:lpstr>GVCA047505col_HEALTH_ELECT_BY</vt:lpstr>
      <vt:lpstr>GVCA047505col_HEALTH_ELECT_CHG</vt:lpstr>
      <vt:lpstr>GVCA047505col_HEALTH_PERM</vt:lpstr>
      <vt:lpstr>GVCA047505col_HEALTH_PERM_BY</vt:lpstr>
      <vt:lpstr>GVCA047505col_HEALTH_PERM_CHG</vt:lpstr>
      <vt:lpstr>GVCA047505col_INC_FTI</vt:lpstr>
      <vt:lpstr>GVCA047505col_LIFE_INS</vt:lpstr>
      <vt:lpstr>GVCA047505col_LIFE_INS_BY</vt:lpstr>
      <vt:lpstr>GVCA047505col_LIFE_INS_CHG</vt:lpstr>
      <vt:lpstr>GVCA047505col_RETIREMENT</vt:lpstr>
      <vt:lpstr>GVCA047505col_RETIREMENT_BY</vt:lpstr>
      <vt:lpstr>GVCA047505col_RETIREMENT_CHG</vt:lpstr>
      <vt:lpstr>GVCA047505col_ROWS_PER_PCN</vt:lpstr>
      <vt:lpstr>GVCA047505col_SICK</vt:lpstr>
      <vt:lpstr>GVCA047505col_SICK_BY</vt:lpstr>
      <vt:lpstr>GVCA047505col_SICK_CHG</vt:lpstr>
      <vt:lpstr>GVCA047505col_SSDI</vt:lpstr>
      <vt:lpstr>GVCA047505col_SSDI_BY</vt:lpstr>
      <vt:lpstr>GVCA047505col_SSDI_CHG</vt:lpstr>
      <vt:lpstr>GVCA047505col_SSHI</vt:lpstr>
      <vt:lpstr>GVCA047505col_SSHI_BY</vt:lpstr>
      <vt:lpstr>GVCA047505col_SSHI_CHGv</vt:lpstr>
      <vt:lpstr>GVCA047505col_TOT_VB_ELECT</vt:lpstr>
      <vt:lpstr>GVCA047505col_TOT_VB_ELECT_BY</vt:lpstr>
      <vt:lpstr>GVCA047505col_TOT_VB_ELECT_CHG</vt:lpstr>
      <vt:lpstr>GVCA047505col_TOT_VB_PERM</vt:lpstr>
      <vt:lpstr>GVCA047505col_TOT_VB_PERM_BY</vt:lpstr>
      <vt:lpstr>GVCA047505col_TOT_VB_PERM_CHG</vt:lpstr>
      <vt:lpstr>GVCA047505col_TOTAL_ELECT_PCN_FTI</vt:lpstr>
      <vt:lpstr>GVCA047505col_TOTAL_ELECT_PCN_FTI_ALT</vt:lpstr>
      <vt:lpstr>GVCA047505col_TOTAL_PERM_PCN_FTI</vt:lpstr>
      <vt:lpstr>GVCA047505col_UNEMP_INS</vt:lpstr>
      <vt:lpstr>GVCA047505col_UNEMP_INS_BY</vt:lpstr>
      <vt:lpstr>GVCA047505col_UNEMP_INS_CHG</vt:lpstr>
      <vt:lpstr>GVCA047505col_WORKERS_COMP</vt:lpstr>
      <vt:lpstr>GVCA047505col_WORKERS_COMP_BY</vt:lpstr>
      <vt:lpstr>GVCA047505col_WORKERS_COMP_CHG</vt:lpstr>
      <vt:lpstr>Health</vt:lpstr>
      <vt:lpstr>HealthBY</vt:lpstr>
      <vt:lpstr>HealthCHG</vt:lpstr>
      <vt:lpstr>Life</vt:lpstr>
      <vt:lpstr>LifeBY</vt:lpstr>
      <vt:lpstr>LifeCHG</vt:lpstr>
      <vt:lpstr>'GVCA|0001-00'!LUMAFund</vt:lpstr>
      <vt:lpstr>'GVCA|0344-30'!LUMAFund</vt:lpstr>
      <vt:lpstr>'GVCA|0349-00'!LUMAFund</vt:lpstr>
      <vt:lpstr>'GVCA|0475-05'!LUMAFund</vt:lpstr>
      <vt:lpstr>LUMAFund</vt:lpstr>
      <vt:lpstr>MAXSSDI</vt:lpstr>
      <vt:lpstr>MAXSSDIBY</vt:lpstr>
      <vt:lpstr>'GVCA|0001-00'!NEW_AdjGroup</vt:lpstr>
      <vt:lpstr>'GVCA|0344-30'!NEW_AdjGroup</vt:lpstr>
      <vt:lpstr>'GVCA|0349-00'!NEW_AdjGroup</vt:lpstr>
      <vt:lpstr>'GVCA|0475-05'!NEW_AdjGroup</vt:lpstr>
      <vt:lpstr>NEW_AdjGroup</vt:lpstr>
      <vt:lpstr>'GVCA|0001-00'!NEW_AdjGroupSalary</vt:lpstr>
      <vt:lpstr>'GVCA|0344-30'!NEW_AdjGroupSalary</vt:lpstr>
      <vt:lpstr>'GVCA|0349-00'!NEW_AdjGroupSalary</vt:lpstr>
      <vt:lpstr>'GVCA|0475-05'!NEW_AdjGroupSalary</vt:lpstr>
      <vt:lpstr>NEW_AdjGroupSalary</vt:lpstr>
      <vt:lpstr>'GVCA|0001-00'!NEW_AdjGroupVB</vt:lpstr>
      <vt:lpstr>'GVCA|0344-30'!NEW_AdjGroupVB</vt:lpstr>
      <vt:lpstr>'GVCA|0349-00'!NEW_AdjGroupVB</vt:lpstr>
      <vt:lpstr>'GVCA|0475-05'!NEW_AdjGroupVB</vt:lpstr>
      <vt:lpstr>NEW_AdjGroupVB</vt:lpstr>
      <vt:lpstr>'GVCA|0001-00'!NEW_AdjONLYGroup</vt:lpstr>
      <vt:lpstr>'GVCA|0344-30'!NEW_AdjONLYGroup</vt:lpstr>
      <vt:lpstr>'GVCA|0349-00'!NEW_AdjONLYGroup</vt:lpstr>
      <vt:lpstr>'GVCA|0475-05'!NEW_AdjONLYGroup</vt:lpstr>
      <vt:lpstr>NEW_AdjONLYGroup</vt:lpstr>
      <vt:lpstr>'GVCA|0001-00'!NEW_AdjONLYGroupSalary</vt:lpstr>
      <vt:lpstr>'GVCA|0344-30'!NEW_AdjONLYGroupSalary</vt:lpstr>
      <vt:lpstr>'GVCA|0349-00'!NEW_AdjONLYGroupSalary</vt:lpstr>
      <vt:lpstr>'GVCA|0475-05'!NEW_AdjONLYGroupSalary</vt:lpstr>
      <vt:lpstr>NEW_AdjONLYGroupSalary</vt:lpstr>
      <vt:lpstr>'GVCA|0001-00'!NEW_AdjONLYGroupVB</vt:lpstr>
      <vt:lpstr>'GVCA|0344-30'!NEW_AdjONLYGroupVB</vt:lpstr>
      <vt:lpstr>'GVCA|0349-00'!NEW_AdjONLYGroupVB</vt:lpstr>
      <vt:lpstr>'GVCA|0475-05'!NEW_AdjONLYGroupVB</vt:lpstr>
      <vt:lpstr>NEW_AdjONLYGroupVB</vt:lpstr>
      <vt:lpstr>'GVCA|0001-00'!NEW_AdjONLYPerm</vt:lpstr>
      <vt:lpstr>'GVCA|0344-30'!NEW_AdjONLYPerm</vt:lpstr>
      <vt:lpstr>'GVCA|0349-00'!NEW_AdjONLYPerm</vt:lpstr>
      <vt:lpstr>'GVCA|0475-05'!NEW_AdjONLYPerm</vt:lpstr>
      <vt:lpstr>NEW_AdjONLYPerm</vt:lpstr>
      <vt:lpstr>'GVCA|0001-00'!NEW_AdjONLYPermSalary</vt:lpstr>
      <vt:lpstr>'GVCA|0344-30'!NEW_AdjONLYPermSalary</vt:lpstr>
      <vt:lpstr>'GVCA|0349-00'!NEW_AdjONLYPermSalary</vt:lpstr>
      <vt:lpstr>'GVCA|0475-05'!NEW_AdjONLYPermSalary</vt:lpstr>
      <vt:lpstr>NEW_AdjONLYPermSalary</vt:lpstr>
      <vt:lpstr>'GVCA|0001-00'!NEW_AdjONLYPermVB</vt:lpstr>
      <vt:lpstr>'GVCA|0344-30'!NEW_AdjONLYPermVB</vt:lpstr>
      <vt:lpstr>'GVCA|0349-00'!NEW_AdjONLYPermVB</vt:lpstr>
      <vt:lpstr>'GVCA|0475-05'!NEW_AdjONLYPermVB</vt:lpstr>
      <vt:lpstr>NEW_AdjONLYPermVB</vt:lpstr>
      <vt:lpstr>'GVCA|0001-00'!NEW_AdjPerm</vt:lpstr>
      <vt:lpstr>'GVCA|0344-30'!NEW_AdjPerm</vt:lpstr>
      <vt:lpstr>'GVCA|0349-00'!NEW_AdjPerm</vt:lpstr>
      <vt:lpstr>'GVCA|0475-05'!NEW_AdjPerm</vt:lpstr>
      <vt:lpstr>NEW_AdjPerm</vt:lpstr>
      <vt:lpstr>'GVCA|0001-00'!NEW_AdjPermSalary</vt:lpstr>
      <vt:lpstr>'GVCA|0344-30'!NEW_AdjPermSalary</vt:lpstr>
      <vt:lpstr>'GVCA|0349-00'!NEW_AdjPermSalary</vt:lpstr>
      <vt:lpstr>'GVCA|0475-05'!NEW_AdjPermSalary</vt:lpstr>
      <vt:lpstr>NEW_AdjPermSalary</vt:lpstr>
      <vt:lpstr>'GVCA|0001-00'!NEW_AdjPermVB</vt:lpstr>
      <vt:lpstr>'GVCA|0344-30'!NEW_AdjPermVB</vt:lpstr>
      <vt:lpstr>'GVCA|0349-00'!NEW_AdjPermVB</vt:lpstr>
      <vt:lpstr>'GVCA|0475-05'!NEW_AdjPermVB</vt:lpstr>
      <vt:lpstr>NEW_AdjPermVB</vt:lpstr>
      <vt:lpstr>'GVCA|0001-00'!NEW_GroupFilled</vt:lpstr>
      <vt:lpstr>'GVCA|0344-30'!NEW_GroupFilled</vt:lpstr>
      <vt:lpstr>'GVCA|0349-00'!NEW_GroupFilled</vt:lpstr>
      <vt:lpstr>'GVCA|0475-05'!NEW_GroupFilled</vt:lpstr>
      <vt:lpstr>NEW_GroupFilled</vt:lpstr>
      <vt:lpstr>'GVCA|0001-00'!NEW_GroupSalaryFilled</vt:lpstr>
      <vt:lpstr>'GVCA|0344-30'!NEW_GroupSalaryFilled</vt:lpstr>
      <vt:lpstr>'GVCA|0349-00'!NEW_GroupSalaryFilled</vt:lpstr>
      <vt:lpstr>'GVCA|0475-05'!NEW_GroupSalaryFilled</vt:lpstr>
      <vt:lpstr>NEW_GroupSalaryFilled</vt:lpstr>
      <vt:lpstr>'GVCA|0001-00'!NEW_GroupVBFilled</vt:lpstr>
      <vt:lpstr>'GVCA|0344-30'!NEW_GroupVBFilled</vt:lpstr>
      <vt:lpstr>'GVCA|0349-00'!NEW_GroupVBFilled</vt:lpstr>
      <vt:lpstr>'GVCA|0475-05'!NEW_GroupVBFilled</vt:lpstr>
      <vt:lpstr>NEW_GroupVBFilled</vt:lpstr>
      <vt:lpstr>'GVCA|0001-00'!NEW_PermFilled</vt:lpstr>
      <vt:lpstr>'GVCA|0344-30'!NEW_PermFilled</vt:lpstr>
      <vt:lpstr>'GVCA|0349-00'!NEW_PermFilled</vt:lpstr>
      <vt:lpstr>'GVCA|0475-05'!NEW_PermFilled</vt:lpstr>
      <vt:lpstr>NEW_PermFilled</vt:lpstr>
      <vt:lpstr>'GVCA|0001-00'!NEW_PermSalaryFilled</vt:lpstr>
      <vt:lpstr>'GVCA|0344-30'!NEW_PermSalaryFilled</vt:lpstr>
      <vt:lpstr>'GVCA|0349-00'!NEW_PermSalaryFilled</vt:lpstr>
      <vt:lpstr>'GVCA|0475-05'!NEW_PermSalaryFilled</vt:lpstr>
      <vt:lpstr>NEW_PermSalaryFilled</vt:lpstr>
      <vt:lpstr>'GVCA|0001-00'!NEW_PermVBFilled</vt:lpstr>
      <vt:lpstr>'GVCA|0344-30'!NEW_PermVBFilled</vt:lpstr>
      <vt:lpstr>'GVCA|0349-00'!NEW_PermVBFilled</vt:lpstr>
      <vt:lpstr>'GVCA|0475-05'!NEW_PermVBFilled</vt:lpstr>
      <vt:lpstr>NEW_PermVBFilled</vt:lpstr>
      <vt:lpstr>'GVCA|0001-00'!OneTimePC_Total</vt:lpstr>
      <vt:lpstr>'GVCA|0344-30'!OneTimePC_Total</vt:lpstr>
      <vt:lpstr>'GVCA|0349-00'!OneTimePC_Total</vt:lpstr>
      <vt:lpstr>'GVCA|0475-05'!OneTimePC_Total</vt:lpstr>
      <vt:lpstr>OneTimePC_Total</vt:lpstr>
      <vt:lpstr>'GVCA|0001-00'!OrigApprop</vt:lpstr>
      <vt:lpstr>'GVCA|0344-30'!OrigApprop</vt:lpstr>
      <vt:lpstr>'GVCA|0349-00'!OrigApprop</vt:lpstr>
      <vt:lpstr>'GVCA|0475-05'!OrigApprop</vt:lpstr>
      <vt:lpstr>OrigApprop</vt:lpstr>
      <vt:lpstr>'GVCA|0001-00'!perm_name</vt:lpstr>
      <vt:lpstr>'GVCA|0344-30'!perm_name</vt:lpstr>
      <vt:lpstr>'GVCA|0349-00'!perm_name</vt:lpstr>
      <vt:lpstr>'GVCA|0475-05'!perm_name</vt:lpstr>
      <vt:lpstr>perm_name</vt:lpstr>
      <vt:lpstr>'GVCA|0001-00'!PermFTP</vt:lpstr>
      <vt:lpstr>'GVCA|0344-30'!PermFTP</vt:lpstr>
      <vt:lpstr>'GVCA|0349-00'!PermFTP</vt:lpstr>
      <vt:lpstr>'GVCA|0475-05'!PermFTP</vt:lpstr>
      <vt:lpstr>PermFTP</vt:lpstr>
      <vt:lpstr>'GVCA|0001-00'!PermFxdBen</vt:lpstr>
      <vt:lpstr>'GVCA|0344-30'!PermFxdBen</vt:lpstr>
      <vt:lpstr>'GVCA|0349-00'!PermFxdBen</vt:lpstr>
      <vt:lpstr>'GVCA|0475-05'!PermFxdBen</vt:lpstr>
      <vt:lpstr>PermFxdBen</vt:lpstr>
      <vt:lpstr>'GVCA|0001-00'!PermFxdBenChg</vt:lpstr>
      <vt:lpstr>'GVCA|0344-30'!PermFxdBenChg</vt:lpstr>
      <vt:lpstr>'GVCA|0349-00'!PermFxdBenChg</vt:lpstr>
      <vt:lpstr>'GVCA|0475-05'!PermFxdBenChg</vt:lpstr>
      <vt:lpstr>PermFxdBenChg</vt:lpstr>
      <vt:lpstr>'GVCA|0001-00'!PermFxdChg</vt:lpstr>
      <vt:lpstr>'GVCA|0344-30'!PermFxdChg</vt:lpstr>
      <vt:lpstr>'GVCA|0349-00'!PermFxdChg</vt:lpstr>
      <vt:lpstr>'GVCA|0475-05'!PermFxdChg</vt:lpstr>
      <vt:lpstr>PermFxdChg</vt:lpstr>
      <vt:lpstr>'GVCA|0001-00'!PermSalary</vt:lpstr>
      <vt:lpstr>'GVCA|0344-30'!PermSalary</vt:lpstr>
      <vt:lpstr>'GVCA|0349-00'!PermSalary</vt:lpstr>
      <vt:lpstr>'GVCA|0475-05'!PermSalary</vt:lpstr>
      <vt:lpstr>PermSalary</vt:lpstr>
      <vt:lpstr>'GVCA|0001-00'!PermVarBen</vt:lpstr>
      <vt:lpstr>'GVCA|0344-30'!PermVarBen</vt:lpstr>
      <vt:lpstr>'GVCA|0349-00'!PermVarBen</vt:lpstr>
      <vt:lpstr>'GVCA|0475-05'!PermVarBen</vt:lpstr>
      <vt:lpstr>PermVarBen</vt:lpstr>
      <vt:lpstr>'GVCA|0001-00'!PermVarBenChg</vt:lpstr>
      <vt:lpstr>'GVCA|0344-30'!PermVarBenChg</vt:lpstr>
      <vt:lpstr>'GVCA|0349-00'!PermVarBenChg</vt:lpstr>
      <vt:lpstr>'GVCA|0475-05'!PermVarBenChg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'GVCA|0001-00'!Print_Area</vt:lpstr>
      <vt:lpstr>'GVCA|0344-30'!Print_Area</vt:lpstr>
      <vt:lpstr>'GVCA|0349-00'!Print_Area</vt:lpstr>
      <vt:lpstr>'GVCA|0475-05'!Print_Area</vt:lpstr>
      <vt:lpstr>'GVCA|0001-00'!Prog_Unadjusted_Total</vt:lpstr>
      <vt:lpstr>'GVCA|0344-30'!Prog_Unadjusted_Total</vt:lpstr>
      <vt:lpstr>'GVCA|0349-00'!Prog_Unadjusted_Total</vt:lpstr>
      <vt:lpstr>'GVCA|0475-05'!Prog_Unadjusted_Total</vt:lpstr>
      <vt:lpstr>Prog_Unadjusted_Total</vt:lpstr>
      <vt:lpstr>'GVCA|0001-00'!Program</vt:lpstr>
      <vt:lpstr>'GVCA|0344-30'!Program</vt:lpstr>
      <vt:lpstr>'GVCA|0349-00'!Program</vt:lpstr>
      <vt:lpstr>'GVCA|0475-05'!Program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'GVCA|0001-00'!RoundedAppropSalary</vt:lpstr>
      <vt:lpstr>'GVCA|0344-30'!RoundedAppropSalary</vt:lpstr>
      <vt:lpstr>'GVCA|0349-00'!RoundedAppropSalary</vt:lpstr>
      <vt:lpstr>'GVCA|0475-05'!RoundedAppropSalary</vt:lpstr>
      <vt:lpstr>RoundedAppropSalary</vt:lpstr>
      <vt:lpstr>'GVCA|0001-00'!SalaryChg</vt:lpstr>
      <vt:lpstr>'GVCA|0344-30'!SalaryChg</vt:lpstr>
      <vt:lpstr>'GVCA|0349-00'!SalaryChg</vt:lpstr>
      <vt:lpstr>'GVCA|0475-05'!SalaryChg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181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2022-07-27T18:17:09Z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