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11985950-4E69-4A58-94AE-3132E666F83D}" xr6:coauthVersionLast="47" xr6:coauthVersionMax="47" xr10:uidLastSave="{00000000-0000-0000-0000-000000000000}"/>
  <bookViews>
    <workbookView xWindow="-25215" yWindow="3480" windowWidth="21600" windowHeight="11325" xr2:uid="{00000000-000D-0000-FFFF-FFFF00000000}"/>
  </bookViews>
  <sheets>
    <sheet name="GVHR|0475-12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'GVHR|0475-12'!$H$39</definedName>
    <definedName name="AdjGroupHlth">'B6'!$H$39</definedName>
    <definedName name="AdjGroupSalary" localSheetId="0">'GVHR|0475-12'!$G$39</definedName>
    <definedName name="AdjGroupSalary">'B6'!$G$39</definedName>
    <definedName name="AdjGroupVB" localSheetId="0">'GVHR|0475-12'!$I$39</definedName>
    <definedName name="AdjGroupVB">'B6'!$I$39</definedName>
    <definedName name="AdjGroupVBBY" localSheetId="0">'GVHR|0475-12'!$M$39</definedName>
    <definedName name="AdjGroupVBBY">'B6'!$M$39</definedName>
    <definedName name="AdjPermHlth" localSheetId="0">'GVHR|0475-12'!$H$38</definedName>
    <definedName name="AdjPermHlth">'B6'!$H$38</definedName>
    <definedName name="AdjPermHlthBY" localSheetId="0">'GVHR|0475-12'!$L$38</definedName>
    <definedName name="AdjPermHlthBY">'B6'!$L$38</definedName>
    <definedName name="AdjPermSalary" localSheetId="0">'GVHR|0475-12'!$G$38</definedName>
    <definedName name="AdjPermSalary">'B6'!$G$38</definedName>
    <definedName name="AdjPermVB" localSheetId="0">'GVHR|0475-12'!$I$38</definedName>
    <definedName name="AdjPermVB">'B6'!$I$38</definedName>
    <definedName name="AdjPermVBBY" localSheetId="0">'GVHR|0475-12'!$M$38</definedName>
    <definedName name="AdjPermVBBY">'B6'!$M$38</definedName>
    <definedName name="AdjustedTotal" localSheetId="0">'GVHR|0475-12'!$J$16</definedName>
    <definedName name="AdjustedTotal">'B6'!$J$16</definedName>
    <definedName name="AgencyNum" localSheetId="0">'GVHR|0475-12'!$M$1</definedName>
    <definedName name="AgencyNum">'B6'!$M$1</definedName>
    <definedName name="AppropFTP" localSheetId="0">'GVHR|0475-12'!$F$15</definedName>
    <definedName name="AppropFTP">'B6'!$F$15</definedName>
    <definedName name="AppropTotal" localSheetId="0">'GVHR|0475-12'!$J$15</definedName>
    <definedName name="AppropTotal">'B6'!$J$15</definedName>
    <definedName name="AtZHealth" localSheetId="0">'GVHR|0475-12'!$H$45</definedName>
    <definedName name="AtZHealth">'B6'!$H$45</definedName>
    <definedName name="AtZSalary" localSheetId="0">'GVHR|0475-12'!$G$45</definedName>
    <definedName name="AtZSalary">'B6'!$G$45</definedName>
    <definedName name="AtZTotal" localSheetId="0">'GVHR|0475-12'!$J$45</definedName>
    <definedName name="AtZTotal">'B6'!$J$45</definedName>
    <definedName name="AtZVarBen" localSheetId="0">'GVHR|0475-12'!$I$45</definedName>
    <definedName name="AtZVarBen">'B6'!$I$45</definedName>
    <definedName name="BudgetUnit" localSheetId="0">'GVHR|0475-12'!$M$3</definedName>
    <definedName name="BudgetUnit">'B6'!$M$3</definedName>
    <definedName name="BudgetYear">Benefits!$D$4</definedName>
    <definedName name="CECGroup">Benefits!$C$39</definedName>
    <definedName name="CECOrigElectSalary" localSheetId="0">'GVHR|0475-12'!$G$74</definedName>
    <definedName name="CECOrigElectSalary">'B6'!$G$74</definedName>
    <definedName name="CECOrigElectVB" localSheetId="0">'GVHR|0475-12'!$I$74</definedName>
    <definedName name="CECOrigElectVB">'B6'!$I$74</definedName>
    <definedName name="CECOrigGroupSalary" localSheetId="0">'GVHR|0475-12'!$G$73</definedName>
    <definedName name="CECOrigGroupSalary">'B6'!$G$73</definedName>
    <definedName name="CECOrigGroupVB" localSheetId="0">'GVHR|0475-12'!$I$73</definedName>
    <definedName name="CECOrigGroupVB">'B6'!$I$73</definedName>
    <definedName name="CECOrigPermSalary" localSheetId="0">'GVHR|0475-12'!$G$72</definedName>
    <definedName name="CECOrigPermSalary">'B6'!$G$72</definedName>
    <definedName name="CECOrigPermVB" localSheetId="0">'GVHR|0475-12'!$I$72</definedName>
    <definedName name="CECOrigPermVB">'B6'!$I$72</definedName>
    <definedName name="CECPerm">Benefits!$C$38</definedName>
    <definedName name="CECpermCalc" localSheetId="0">'GVHR|0475-12'!$E$72</definedName>
    <definedName name="CECpermCalc">'B6'!$E$72</definedName>
    <definedName name="Department" localSheetId="0">'GVHR|0475-12'!$D$1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'GVHR|0475-12'!$D$2</definedName>
    <definedName name="Division">'B6'!$D$2</definedName>
    <definedName name="DUCECElect" localSheetId="0">'GVHR|0475-12'!$J$74</definedName>
    <definedName name="DUCECElect">'B6'!$J$74</definedName>
    <definedName name="DUCECGroup" localSheetId="0">'GVHR|0475-12'!$J$73</definedName>
    <definedName name="DUCECGroup">'B6'!$J$73</definedName>
    <definedName name="DUCECPerm" localSheetId="0">'GVHR|0475-12'!$J$72</definedName>
    <definedName name="DUCECPerm">'B6'!$J$72</definedName>
    <definedName name="DUEleven" localSheetId="0">'GVHR|0475-12'!$J$75</definedName>
    <definedName name="DUEleven">'B6'!$J$75</definedName>
    <definedName name="DUHealthBen" localSheetId="0">'GVHR|0475-12'!$J$68</definedName>
    <definedName name="DUHealthBen">'B6'!$J$68</definedName>
    <definedName name="DUNine" localSheetId="0">'GVHR|0475-12'!$J$67</definedName>
    <definedName name="DUNine">'B6'!$J$67</definedName>
    <definedName name="DUThirteen" localSheetId="0">'GVHR|0475-12'!$J$80</definedName>
    <definedName name="DUThirteen">'B6'!$J$80</definedName>
    <definedName name="DUVariableBen" localSheetId="0">'GVHR|0475-12'!$J$69</definedName>
    <definedName name="DUVariableBen">'B6'!$J$69</definedName>
    <definedName name="Elect_chg_health" localSheetId="0">'GVHR|0475-12'!$L$12</definedName>
    <definedName name="Elect_chg_health">'B6'!$L$12</definedName>
    <definedName name="Elect_chg_Var" localSheetId="0">'GVHR|0475-12'!$M$12</definedName>
    <definedName name="Elect_chg_Var">'B6'!$M$12</definedName>
    <definedName name="elect_FTP" localSheetId="0">'GVHR|0475-12'!$F$12</definedName>
    <definedName name="elect_FTP">'B6'!$F$12</definedName>
    <definedName name="Elect_health" localSheetId="0">'GVHR|0475-12'!$H$12</definedName>
    <definedName name="Elect_health">'B6'!$H$12</definedName>
    <definedName name="Elect_name" localSheetId="0">'GVHR|0475-12'!$C$12</definedName>
    <definedName name="Elect_name">'B6'!$C$12</definedName>
    <definedName name="Elect_salary" localSheetId="0">'GVHR|0475-12'!$G$12</definedName>
    <definedName name="Elect_salary">'B6'!$G$12</definedName>
    <definedName name="Elect_Var" localSheetId="0">'GVHR|0475-12'!$I$12</definedName>
    <definedName name="Elect_Var">'B6'!$I$12</definedName>
    <definedName name="Elect_VarBen" localSheetId="0">'GVHR|0475-12'!$I$12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'GVHR|0475-12'!#REF!</definedName>
    <definedName name="FillRateAvg_B6">'B6'!#REF!</definedName>
    <definedName name="FiscalYear" localSheetId="0">'GVHR|0475-12'!$M$4</definedName>
    <definedName name="FiscalYear">'B6'!$M$4</definedName>
    <definedName name="FundName" localSheetId="0">'GVHR|0475-12'!$I$5</definedName>
    <definedName name="FundName">'B6'!$I$5</definedName>
    <definedName name="FundNum" localSheetId="0">'GVHR|0475-12'!$N$5</definedName>
    <definedName name="FundNum">'B6'!$N$5</definedName>
    <definedName name="FundNumber" localSheetId="0">'GVHR|0475-12'!$N$5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'GVHR|0475-12'!$C$11</definedName>
    <definedName name="Group_name">'B6'!$C$11</definedName>
    <definedName name="GroupFxdBen" localSheetId="0">'GVHR|0475-12'!$H$11</definedName>
    <definedName name="GroupFxdBen">'B6'!$H$11</definedName>
    <definedName name="GroupSalary" localSheetId="0">'GVHR|0475-12'!$G$11</definedName>
    <definedName name="GroupSalary">'B6'!$G$11</definedName>
    <definedName name="GroupVarBen" localSheetId="0">'GVHR|0475-12'!$I$11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HR047512col_1_27TH_PP">Data!$BA$29</definedName>
    <definedName name="GVHR047512col_DHR">Data!$BI$29</definedName>
    <definedName name="GVHR047512col_DHR_BY">Data!$BU$29</definedName>
    <definedName name="GVHR047512col_DHR_CHG">Data!$CG$29</definedName>
    <definedName name="GVHR047512col_FTI_SALARY_ELECT">Data!$AZ$29</definedName>
    <definedName name="GVHR047512col_FTI_SALARY_PERM">Data!$AY$29</definedName>
    <definedName name="GVHR047512col_FTI_SALARY_SSDI">Data!$AX$29</definedName>
    <definedName name="GVHR047512col_Group_Ben">Data!$CM$29</definedName>
    <definedName name="GVHR047512col_Group_Salary">Data!$CL$29</definedName>
    <definedName name="GVHR047512col_HEALTH_ELECT">Data!$BC$29</definedName>
    <definedName name="GVHR047512col_HEALTH_ELECT_BY">Data!$BO$29</definedName>
    <definedName name="GVHR047512col_HEALTH_ELECT_CHG">Data!$CA$29</definedName>
    <definedName name="GVHR047512col_HEALTH_PERM">Data!$BB$29</definedName>
    <definedName name="GVHR047512col_HEALTH_PERM_BY">Data!$BN$29</definedName>
    <definedName name="GVHR047512col_HEALTH_PERM_CHG">Data!$BZ$29</definedName>
    <definedName name="GVHR047512col_INC_FTI">Data!$AS$29</definedName>
    <definedName name="GVHR047512col_LIFE_INS">Data!$BG$29</definedName>
    <definedName name="GVHR047512col_LIFE_INS_BY">Data!$BS$29</definedName>
    <definedName name="GVHR047512col_LIFE_INS_CHG">Data!$CE$29</definedName>
    <definedName name="GVHR047512col_RETIREMENT">Data!$BF$29</definedName>
    <definedName name="GVHR047512col_RETIREMENT_BY">Data!$BR$29</definedName>
    <definedName name="GVHR047512col_RETIREMENT_CHG">Data!$CD$29</definedName>
    <definedName name="GVHR047512col_ROWS_PER_PCN">Data!$AW$29</definedName>
    <definedName name="GVHR047512col_SICK">Data!$BK$29</definedName>
    <definedName name="GVHR047512col_SICK_BY">Data!$BW$29</definedName>
    <definedName name="GVHR047512col_SICK_CHG">Data!$CI$29</definedName>
    <definedName name="GVHR047512col_SSDI">Data!$BD$29</definedName>
    <definedName name="GVHR047512col_SSDI_BY">Data!$BP$29</definedName>
    <definedName name="GVHR047512col_SSDI_CHG">Data!$CB$29</definedName>
    <definedName name="GVHR047512col_SSHI">Data!$BE$29</definedName>
    <definedName name="GVHR047512col_SSHI_BY">Data!$BQ$29</definedName>
    <definedName name="GVHR047512col_SSHI_CHGv">Data!$CC$29</definedName>
    <definedName name="GVHR047512col_TOT_VB_ELECT">Data!$BM$29</definedName>
    <definedName name="GVHR047512col_TOT_VB_ELECT_BY">Data!$BY$29</definedName>
    <definedName name="GVHR047512col_TOT_VB_ELECT_CHG">Data!$CK$29</definedName>
    <definedName name="GVHR047512col_TOT_VB_PERM">Data!$BL$29</definedName>
    <definedName name="GVHR047512col_TOT_VB_PERM_BY">Data!$BX$29</definedName>
    <definedName name="GVHR047512col_TOT_VB_PERM_CHG">Data!$CJ$29</definedName>
    <definedName name="GVHR047512col_TOTAL_ELECT_PCN_FTI">Data!$AT$29</definedName>
    <definedName name="GVHR047512col_TOTAL_ELECT_PCN_FTI_ALT">Data!$AV$29</definedName>
    <definedName name="GVHR047512col_TOTAL_PERM_PCN_FTI">Data!$AU$29</definedName>
    <definedName name="GVHR047512col_UNEMP_INS">Data!$BH$29</definedName>
    <definedName name="GVHR047512col_UNEMP_INS_BY">Data!$BT$29</definedName>
    <definedName name="GVHR047512col_UNEMP_INS_CHG">Data!$CF$29</definedName>
    <definedName name="GVHR047512col_WORKERS_COMP">Data!$BJ$29</definedName>
    <definedName name="GVHR047512col_WORKERS_COMP_BY">Data!$BV$29</definedName>
    <definedName name="GVHR047512col_WORKERS_COMP_CHG">Data!$CH$29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'GVHR|0475-12'!$M$2</definedName>
    <definedName name="LUMAFund">'B6'!$M$2</definedName>
    <definedName name="MAXSSDI">Benefits!$F$5</definedName>
    <definedName name="MAXSSDIBY">Benefits!$G$5</definedName>
    <definedName name="NEW_AdjGroup" localSheetId="0">'GVHR|0475-12'!$AC$39</definedName>
    <definedName name="NEW_AdjGroup">'B6'!$AC$39</definedName>
    <definedName name="NEW_AdjGroupSalary" localSheetId="0">'GVHR|0475-12'!$AA$39</definedName>
    <definedName name="NEW_AdjGroupSalary">'B6'!$AA$39</definedName>
    <definedName name="NEW_AdjGroupVB" localSheetId="0">'GVHR|0475-12'!$AB$39</definedName>
    <definedName name="NEW_AdjGroupVB">'B6'!$AB$39</definedName>
    <definedName name="NEW_AdjONLYGroup" localSheetId="0">'GVHR|0475-12'!$AC$45</definedName>
    <definedName name="NEW_AdjONLYGroup">'B6'!$AC$45</definedName>
    <definedName name="NEW_AdjONLYGroupSalary" localSheetId="0">'GVHR|0475-12'!$AA$45</definedName>
    <definedName name="NEW_AdjONLYGroupSalary">'B6'!$AA$45</definedName>
    <definedName name="NEW_AdjONLYGroupVB" localSheetId="0">'GVHR|0475-12'!$AB$45</definedName>
    <definedName name="NEW_AdjONLYGroupVB">'B6'!$AB$45</definedName>
    <definedName name="NEW_AdjONLYPerm" localSheetId="0">'GVHR|0475-12'!$AC$44</definedName>
    <definedName name="NEW_AdjONLYPerm">'B6'!$AC$44</definedName>
    <definedName name="NEW_AdjONLYPermSalary" localSheetId="0">'GVHR|0475-12'!$AA$44</definedName>
    <definedName name="NEW_AdjONLYPermSalary">'B6'!$AA$44</definedName>
    <definedName name="NEW_AdjONLYPermVB" localSheetId="0">'GVHR|0475-12'!$AB$44</definedName>
    <definedName name="NEW_AdjONLYPermVB">'B6'!$AB$44</definedName>
    <definedName name="NEW_AdjPerm" localSheetId="0">'GVHR|0475-12'!$AC$38</definedName>
    <definedName name="NEW_AdjPerm">'B6'!$AC$38</definedName>
    <definedName name="NEW_AdjPermSalary" localSheetId="0">'GVHR|0475-12'!$AA$38</definedName>
    <definedName name="NEW_AdjPermSalary">'B6'!$AA$38</definedName>
    <definedName name="NEW_AdjPermVB" localSheetId="0">'GVHR|0475-12'!$AB$38</definedName>
    <definedName name="NEW_AdjPermVB">'B6'!$AB$38</definedName>
    <definedName name="NEW_GroupFilled" localSheetId="0">'GVHR|0475-12'!$AC$11</definedName>
    <definedName name="NEW_GroupFilled">'B6'!$AC$11</definedName>
    <definedName name="NEW_GroupSalaryFilled" localSheetId="0">'GVHR|0475-12'!$AA$11</definedName>
    <definedName name="NEW_GroupSalaryFilled">'B6'!$AA$11</definedName>
    <definedName name="NEW_GroupVBFilled" localSheetId="0">'GVHR|0475-12'!$AB$11</definedName>
    <definedName name="NEW_GroupVBFilled">'B6'!$AB$11</definedName>
    <definedName name="NEW_PermFilled" localSheetId="0">'GVHR|0475-12'!$AC$10</definedName>
    <definedName name="NEW_PermFilled">'B6'!$AC$10</definedName>
    <definedName name="NEW_PermSalaryFilled" localSheetId="0">'GVHR|0475-12'!$AA$10</definedName>
    <definedName name="NEW_PermSalaryFilled">'B6'!$AA$10</definedName>
    <definedName name="NEW_PermVBFilled" localSheetId="0">'GVHR|0475-12'!$AB$10</definedName>
    <definedName name="NEW_PermVBFilled">'B6'!$AB$10</definedName>
    <definedName name="OneTimePC_Total" localSheetId="0">'GVHR|0475-12'!$J$63</definedName>
    <definedName name="OneTimePC_Total">'B6'!$J$63</definedName>
    <definedName name="OrigApprop" localSheetId="0">'GVHR|0475-12'!$E$15</definedName>
    <definedName name="OrigApprop">'B6'!$E$15</definedName>
    <definedName name="perm_name" localSheetId="0">'GVHR|0475-12'!$C$10</definedName>
    <definedName name="perm_name">'B6'!$C$10</definedName>
    <definedName name="PermFTP" localSheetId="0">'GVHR|0475-12'!$F$10</definedName>
    <definedName name="PermFTP">'B6'!$F$10</definedName>
    <definedName name="PermFxdBen" localSheetId="0">'GVHR|0475-12'!$H$10</definedName>
    <definedName name="PermFxdBen">'B6'!$H$10</definedName>
    <definedName name="PermFxdBenChg" localSheetId="0">'GVHR|0475-12'!$L$10</definedName>
    <definedName name="PermFxdBenChg">'B6'!$L$10</definedName>
    <definedName name="PermFxdChg" localSheetId="0">'GVHR|0475-12'!$L$10</definedName>
    <definedName name="PermFxdChg">'B6'!$L$10</definedName>
    <definedName name="PermSalary" localSheetId="0">'GVHR|0475-12'!$G$10</definedName>
    <definedName name="PermSalary">'B6'!$G$10</definedName>
    <definedName name="PermVarBen" localSheetId="0">'GVHR|0475-12'!$I$10</definedName>
    <definedName name="PermVarBen">'B6'!$I$10</definedName>
    <definedName name="PermVarBenChg" localSheetId="0">'GVHR|0475-12'!$M$10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'GVHR|0475-12'!$A$1:$N$81</definedName>
    <definedName name="Prog_Unadjusted_Total" localSheetId="0">'GVHR|0475-12'!$C$8:$N$16</definedName>
    <definedName name="Prog_Unadjusted_Total">'B6'!$C$8:$N$16</definedName>
    <definedName name="Program" localSheetId="0">'GVHR|0475-12'!$D$3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'GVHR|0475-12'!$G$52</definedName>
    <definedName name="RoundedAppropSalary">'B6'!$G$52</definedName>
    <definedName name="SalaryChg" localSheetId="0">'GVHR|0475-12'!$K$10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'GVHR|0475-12'!#REF!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BA46" i="5"/>
  <c r="AZ46" i="5"/>
  <c r="AY46" i="5"/>
  <c r="AX46" i="5"/>
  <c r="AW46" i="5"/>
  <c r="AV46" i="5"/>
  <c r="AU46" i="5"/>
  <c r="AT46" i="5"/>
  <c r="AS46" i="5"/>
  <c r="BA40" i="5"/>
  <c r="AZ40" i="5"/>
  <c r="AY40" i="5"/>
  <c r="AX40" i="5"/>
  <c r="AW40" i="5"/>
  <c r="AV40" i="5"/>
  <c r="AU40" i="5"/>
  <c r="AT40" i="5"/>
  <c r="AS40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N34" i="12"/>
  <c r="M34" i="12"/>
  <c r="L34" i="12"/>
  <c r="J34" i="12"/>
  <c r="I34" i="12"/>
  <c r="H34" i="12"/>
  <c r="M33" i="12"/>
  <c r="L33" i="12"/>
  <c r="N33" i="12" s="1"/>
  <c r="J33" i="12"/>
  <c r="I33" i="12"/>
  <c r="H33" i="12"/>
  <c r="M32" i="12"/>
  <c r="L32" i="12"/>
  <c r="N32" i="12" s="1"/>
  <c r="J32" i="12"/>
  <c r="I32" i="12"/>
  <c r="H32" i="12"/>
  <c r="M30" i="12"/>
  <c r="N30" i="12" s="1"/>
  <c r="L30" i="12"/>
  <c r="J30" i="12"/>
  <c r="I30" i="12"/>
  <c r="H30" i="12"/>
  <c r="N29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L27" i="12"/>
  <c r="N27" i="12" s="1"/>
  <c r="J27" i="12"/>
  <c r="I27" i="12"/>
  <c r="H27" i="12"/>
  <c r="M26" i="12"/>
  <c r="N26" i="12" s="1"/>
  <c r="L26" i="12"/>
  <c r="J26" i="12"/>
  <c r="I26" i="12"/>
  <c r="H26" i="12"/>
  <c r="N25" i="12"/>
  <c r="M25" i="12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N23" i="12" s="1"/>
  <c r="J23" i="12"/>
  <c r="I23" i="12"/>
  <c r="H23" i="12"/>
  <c r="M22" i="12"/>
  <c r="N22" i="12" s="1"/>
  <c r="L22" i="12"/>
  <c r="J22" i="12"/>
  <c r="I22" i="12"/>
  <c r="H22" i="12"/>
  <c r="N21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" i="5"/>
  <c r="AT37" i="5" s="1"/>
  <c r="AT38" i="5" s="1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" i="5"/>
  <c r="CM28" i="5" s="1"/>
  <c r="CM29" i="5" s="1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" i="5"/>
  <c r="CL28" i="5" s="1"/>
  <c r="CL29" i="5" s="1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W28" i="5" s="1"/>
  <c r="AW29" i="5" s="1"/>
  <c r="AS3" i="5"/>
  <c r="AT3" i="5" s="1"/>
  <c r="AV3" i="5" s="1"/>
  <c r="AS4" i="5"/>
  <c r="AT4" i="5" s="1"/>
  <c r="BM4" i="5" s="1"/>
  <c r="AS5" i="5"/>
  <c r="AT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T11" i="5" s="1"/>
  <c r="AU11" i="5" s="1"/>
  <c r="AS12" i="5"/>
  <c r="AT12" i="5" s="1"/>
  <c r="AS13" i="5"/>
  <c r="AT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T19" i="5" s="1"/>
  <c r="BH19" i="5" s="1"/>
  <c r="AS20" i="5"/>
  <c r="AT20" i="5" s="1"/>
  <c r="AS21" i="5"/>
  <c r="AT21" i="5" s="1"/>
  <c r="AS22" i="5"/>
  <c r="AX22" i="5" s="1"/>
  <c r="AS23" i="5"/>
  <c r="AX23" i="5" s="1"/>
  <c r="AS24" i="5"/>
  <c r="AX24" i="5" s="1"/>
  <c r="AS25" i="5"/>
  <c r="AX25" i="5" s="1"/>
  <c r="AS2" i="5"/>
  <c r="AX2" i="5" s="1"/>
  <c r="E27" i="7"/>
  <c r="AT25" i="5" l="1"/>
  <c r="BA25" i="5" s="1"/>
  <c r="I11" i="12"/>
  <c r="I39" i="12" s="1"/>
  <c r="AB39" i="12" s="1"/>
  <c r="G5" i="10"/>
  <c r="G11" i="12"/>
  <c r="E5" i="10"/>
  <c r="H5" i="10" s="1"/>
  <c r="AT9" i="5"/>
  <c r="BE9" i="5" s="1"/>
  <c r="AU37" i="5"/>
  <c r="AU38" i="5" s="1"/>
  <c r="AU3" i="5"/>
  <c r="BB3" i="5" s="1"/>
  <c r="AV19" i="5"/>
  <c r="AX3" i="5"/>
  <c r="AX11" i="5"/>
  <c r="AX19" i="5"/>
  <c r="N39" i="12"/>
  <c r="F67" i="12"/>
  <c r="AT17" i="5"/>
  <c r="AZ9" i="5"/>
  <c r="BI11" i="5"/>
  <c r="CF25" i="5"/>
  <c r="CE25" i="5"/>
  <c r="CD25" i="5"/>
  <c r="CC25" i="5"/>
  <c r="CA25" i="5"/>
  <c r="BY25" i="5"/>
  <c r="CI25" i="5"/>
  <c r="BK25" i="5"/>
  <c r="BJ25" i="5"/>
  <c r="BI25" i="5"/>
  <c r="BH25" i="5"/>
  <c r="BG25" i="5"/>
  <c r="BF25" i="5"/>
  <c r="CK25" i="5"/>
  <c r="BS25" i="5"/>
  <c r="AV25" i="5"/>
  <c r="BO25" i="5" s="1"/>
  <c r="AU25" i="5"/>
  <c r="BN25" i="5" s="1"/>
  <c r="BW25" i="5"/>
  <c r="BR25" i="5"/>
  <c r="BP25" i="5"/>
  <c r="BV25" i="5"/>
  <c r="BU25" i="5"/>
  <c r="BT25" i="5"/>
  <c r="CF9" i="5"/>
  <c r="CE9" i="5"/>
  <c r="CD9" i="5"/>
  <c r="CC9" i="5"/>
  <c r="CA9" i="5"/>
  <c r="BY9" i="5"/>
  <c r="CI9" i="5"/>
  <c r="BK9" i="5"/>
  <c r="BJ9" i="5"/>
  <c r="BI9" i="5"/>
  <c r="BH9" i="5"/>
  <c r="BG9" i="5"/>
  <c r="BF9" i="5"/>
  <c r="CK9" i="5"/>
  <c r="BT9" i="5"/>
  <c r="BS9" i="5"/>
  <c r="AV9" i="5"/>
  <c r="BC9" i="5" s="1"/>
  <c r="AU9" i="5"/>
  <c r="BN9" i="5" s="1"/>
  <c r="BU9" i="5"/>
  <c r="BR9" i="5"/>
  <c r="BM9" i="5"/>
  <c r="BW9" i="5"/>
  <c r="BV9" i="5"/>
  <c r="BD25" i="5"/>
  <c r="BF3" i="5"/>
  <c r="AY25" i="5"/>
  <c r="BA9" i="5"/>
  <c r="BP9" i="5" s="1"/>
  <c r="BJ3" i="5"/>
  <c r="BK21" i="5"/>
  <c r="BJ21" i="5"/>
  <c r="BI21" i="5"/>
  <c r="BH21" i="5"/>
  <c r="BG21" i="5"/>
  <c r="BF21" i="5"/>
  <c r="BW21" i="5"/>
  <c r="BV21" i="5"/>
  <c r="BU21" i="5"/>
  <c r="BT21" i="5"/>
  <c r="BS21" i="5"/>
  <c r="BR21" i="5"/>
  <c r="BQ21" i="5"/>
  <c r="CF21" i="5"/>
  <c r="CE21" i="5"/>
  <c r="CD21" i="5"/>
  <c r="CC21" i="5"/>
  <c r="CA21" i="5"/>
  <c r="BY21" i="5"/>
  <c r="CI21" i="5"/>
  <c r="CK21" i="5"/>
  <c r="BE21" i="5"/>
  <c r="BA21" i="5"/>
  <c r="AZ21" i="5"/>
  <c r="AY21" i="5"/>
  <c r="BM21" i="5"/>
  <c r="AV21" i="5"/>
  <c r="BC21" i="5" s="1"/>
  <c r="AU21" i="5"/>
  <c r="BB21" i="5" s="1"/>
  <c r="BK13" i="5"/>
  <c r="BJ13" i="5"/>
  <c r="BI13" i="5"/>
  <c r="BH13" i="5"/>
  <c r="BG13" i="5"/>
  <c r="BF13" i="5"/>
  <c r="BW13" i="5"/>
  <c r="BV13" i="5"/>
  <c r="BU13" i="5"/>
  <c r="BT13" i="5"/>
  <c r="BS13" i="5"/>
  <c r="BR13" i="5"/>
  <c r="BQ13" i="5"/>
  <c r="CF13" i="5"/>
  <c r="CE13" i="5"/>
  <c r="CD13" i="5"/>
  <c r="CC13" i="5"/>
  <c r="CA13" i="5"/>
  <c r="BY13" i="5"/>
  <c r="CI13" i="5"/>
  <c r="BE13" i="5"/>
  <c r="BA13" i="5"/>
  <c r="AZ13" i="5"/>
  <c r="AY13" i="5"/>
  <c r="CK13" i="5"/>
  <c r="AV13" i="5"/>
  <c r="BC13" i="5" s="1"/>
  <c r="AU13" i="5"/>
  <c r="BN13" i="5" s="1"/>
  <c r="BM13" i="5"/>
  <c r="BK5" i="5"/>
  <c r="BJ5" i="5"/>
  <c r="BI5" i="5"/>
  <c r="BH5" i="5"/>
  <c r="BG5" i="5"/>
  <c r="BF5" i="5"/>
  <c r="BW5" i="5"/>
  <c r="BV5" i="5"/>
  <c r="BU5" i="5"/>
  <c r="BT5" i="5"/>
  <c r="BS5" i="5"/>
  <c r="BR5" i="5"/>
  <c r="BQ5" i="5"/>
  <c r="CF5" i="5"/>
  <c r="CE5" i="5"/>
  <c r="CD5" i="5"/>
  <c r="CC5" i="5"/>
  <c r="CA5" i="5"/>
  <c r="BZ5" i="5"/>
  <c r="BY5" i="5"/>
  <c r="BX5" i="5"/>
  <c r="CG5" i="5"/>
  <c r="BM5" i="5"/>
  <c r="CK5" i="5"/>
  <c r="CJ5" i="5"/>
  <c r="BL5" i="5"/>
  <c r="BE5" i="5"/>
  <c r="BA5" i="5"/>
  <c r="AZ5" i="5"/>
  <c r="AY5" i="5"/>
  <c r="CI5" i="5"/>
  <c r="CH5" i="5"/>
  <c r="AV5" i="5"/>
  <c r="BO5" i="5" s="1"/>
  <c r="AU5" i="5"/>
  <c r="BN5" i="5" s="1"/>
  <c r="AU19" i="5"/>
  <c r="BN19" i="5" s="1"/>
  <c r="BB25" i="5"/>
  <c r="BD9" i="5"/>
  <c r="CK4" i="5"/>
  <c r="CJ4" i="5"/>
  <c r="CF4" i="5"/>
  <c r="CE4" i="5"/>
  <c r="CD4" i="5"/>
  <c r="CC4" i="5"/>
  <c r="CA4" i="5"/>
  <c r="BZ4" i="5"/>
  <c r="BY4" i="5"/>
  <c r="BX4" i="5"/>
  <c r="CG4" i="5"/>
  <c r="BS4" i="5"/>
  <c r="BJ4" i="5"/>
  <c r="BF4" i="5"/>
  <c r="BT4" i="5"/>
  <c r="BR4" i="5"/>
  <c r="BN4" i="5"/>
  <c r="BL4" i="5"/>
  <c r="BI4" i="5"/>
  <c r="BE4" i="5"/>
  <c r="BA4" i="5"/>
  <c r="AZ4" i="5"/>
  <c r="AY4" i="5"/>
  <c r="CI4" i="5"/>
  <c r="CH4" i="5"/>
  <c r="BW4" i="5"/>
  <c r="BH4" i="5"/>
  <c r="BV4" i="5"/>
  <c r="BQ4" i="5"/>
  <c r="BU4" i="5"/>
  <c r="BK4" i="5"/>
  <c r="BG4" i="5"/>
  <c r="AV4" i="5"/>
  <c r="BO4" i="5" s="1"/>
  <c r="AU4" i="5"/>
  <c r="BB4" i="5" s="1"/>
  <c r="AY9" i="5"/>
  <c r="BE25" i="5"/>
  <c r="BQ25" i="5"/>
  <c r="CK20" i="5"/>
  <c r="CF20" i="5"/>
  <c r="CE20" i="5"/>
  <c r="CD20" i="5"/>
  <c r="CC20" i="5"/>
  <c r="CA20" i="5"/>
  <c r="BY20" i="5"/>
  <c r="BH20" i="5"/>
  <c r="CI20" i="5"/>
  <c r="BR20" i="5"/>
  <c r="BW20" i="5"/>
  <c r="BK20" i="5"/>
  <c r="BG20" i="5"/>
  <c r="BE20" i="5"/>
  <c r="BA20" i="5"/>
  <c r="AZ20" i="5"/>
  <c r="AY20" i="5"/>
  <c r="BV20" i="5"/>
  <c r="BM20" i="5"/>
  <c r="BU20" i="5"/>
  <c r="BJ20" i="5"/>
  <c r="BF20" i="5"/>
  <c r="BT20" i="5"/>
  <c r="BQ20" i="5"/>
  <c r="BS20" i="5"/>
  <c r="BI20" i="5"/>
  <c r="AV20" i="5"/>
  <c r="BC20" i="5" s="1"/>
  <c r="AU20" i="5"/>
  <c r="BN20" i="5" s="1"/>
  <c r="CK12" i="5"/>
  <c r="CF12" i="5"/>
  <c r="CE12" i="5"/>
  <c r="CD12" i="5"/>
  <c r="CC12" i="5"/>
  <c r="CA12" i="5"/>
  <c r="BY12" i="5"/>
  <c r="BV12" i="5"/>
  <c r="BI12" i="5"/>
  <c r="BU12" i="5"/>
  <c r="BQ12" i="5"/>
  <c r="BT12" i="5"/>
  <c r="BH12" i="5"/>
  <c r="BE12" i="5"/>
  <c r="BA12" i="5"/>
  <c r="AZ12" i="5"/>
  <c r="AY12" i="5"/>
  <c r="BW12" i="5"/>
  <c r="BS12" i="5"/>
  <c r="BK12" i="5"/>
  <c r="BG12" i="5"/>
  <c r="BR12" i="5"/>
  <c r="BM12" i="5"/>
  <c r="CI12" i="5"/>
  <c r="BJ12" i="5"/>
  <c r="BF12" i="5"/>
  <c r="AV12" i="5"/>
  <c r="BO12" i="5" s="1"/>
  <c r="AU12" i="5"/>
  <c r="BB12" i="5" s="1"/>
  <c r="BW19" i="5"/>
  <c r="BV19" i="5"/>
  <c r="BU19" i="5"/>
  <c r="BT19" i="5"/>
  <c r="BS19" i="5"/>
  <c r="BR19" i="5"/>
  <c r="BQ19" i="5"/>
  <c r="BO19" i="5"/>
  <c r="BM19" i="5"/>
  <c r="CF19" i="5"/>
  <c r="CE19" i="5"/>
  <c r="CD19" i="5"/>
  <c r="CC19" i="5"/>
  <c r="CA19" i="5"/>
  <c r="BY19" i="5"/>
  <c r="CI19" i="5"/>
  <c r="BK19" i="5"/>
  <c r="BG19" i="5"/>
  <c r="BE19" i="5"/>
  <c r="BD19" i="5"/>
  <c r="BC19" i="5"/>
  <c r="BA19" i="5"/>
  <c r="BP19" i="5" s="1"/>
  <c r="AZ19" i="5"/>
  <c r="AY19" i="5"/>
  <c r="BJ19" i="5"/>
  <c r="BF19" i="5"/>
  <c r="BI19" i="5"/>
  <c r="CK19" i="5"/>
  <c r="BW11" i="5"/>
  <c r="BV11" i="5"/>
  <c r="BU11" i="5"/>
  <c r="BT11" i="5"/>
  <c r="BS11" i="5"/>
  <c r="BR11" i="5"/>
  <c r="BQ11" i="5"/>
  <c r="BN11" i="5"/>
  <c r="BM11" i="5"/>
  <c r="CF11" i="5"/>
  <c r="CE11" i="5"/>
  <c r="CD11" i="5"/>
  <c r="CC11" i="5"/>
  <c r="CA11" i="5"/>
  <c r="BY11" i="5"/>
  <c r="CI11" i="5"/>
  <c r="BH11" i="5"/>
  <c r="BE11" i="5"/>
  <c r="BD11" i="5"/>
  <c r="BB11" i="5"/>
  <c r="BZ11" i="5" s="1"/>
  <c r="BA11" i="5"/>
  <c r="BP11" i="5" s="1"/>
  <c r="AZ11" i="5"/>
  <c r="AY11" i="5"/>
  <c r="CK11" i="5"/>
  <c r="BK11" i="5"/>
  <c r="BG11" i="5"/>
  <c r="BJ11" i="5"/>
  <c r="BF11" i="5"/>
  <c r="BW3" i="5"/>
  <c r="BV3" i="5"/>
  <c r="BU3" i="5"/>
  <c r="BT3" i="5"/>
  <c r="BS3" i="5"/>
  <c r="BR3" i="5"/>
  <c r="BQ3" i="5"/>
  <c r="BP3" i="5"/>
  <c r="CB3" i="5" s="1"/>
  <c r="BO3" i="5"/>
  <c r="BN3" i="5"/>
  <c r="BM3" i="5"/>
  <c r="BL3" i="5"/>
  <c r="CF3" i="5"/>
  <c r="CE3" i="5"/>
  <c r="CD3" i="5"/>
  <c r="CC3" i="5"/>
  <c r="CA3" i="5"/>
  <c r="BZ3" i="5"/>
  <c r="BY3" i="5"/>
  <c r="BX3" i="5"/>
  <c r="CG3" i="5"/>
  <c r="CI3" i="5"/>
  <c r="CH3" i="5"/>
  <c r="CK3" i="5"/>
  <c r="CJ3" i="5"/>
  <c r="BI3" i="5"/>
  <c r="BE3" i="5"/>
  <c r="BD3" i="5"/>
  <c r="BC3" i="5"/>
  <c r="BA3" i="5"/>
  <c r="AZ3" i="5"/>
  <c r="AY3" i="5"/>
  <c r="BH3" i="5"/>
  <c r="BK3" i="5"/>
  <c r="BG3" i="5"/>
  <c r="AV11" i="5"/>
  <c r="BO11" i="5" s="1"/>
  <c r="AZ25" i="5"/>
  <c r="BB9" i="5"/>
  <c r="BM25" i="5"/>
  <c r="BQ9" i="5"/>
  <c r="AT24" i="5"/>
  <c r="AT16" i="5"/>
  <c r="AT8" i="5"/>
  <c r="AX4" i="5"/>
  <c r="AX12" i="5"/>
  <c r="AX20" i="5"/>
  <c r="BD20" i="5" s="1"/>
  <c r="AT23" i="5"/>
  <c r="AT15" i="5"/>
  <c r="AT7" i="5"/>
  <c r="AX5" i="5"/>
  <c r="BP5" i="5" s="1"/>
  <c r="AX13" i="5"/>
  <c r="BD13" i="5" s="1"/>
  <c r="AX21" i="5"/>
  <c r="BD21" i="5" s="1"/>
  <c r="AT22" i="5"/>
  <c r="AT14" i="5"/>
  <c r="AT6" i="5"/>
  <c r="AT2" i="5"/>
  <c r="AT18" i="5"/>
  <c r="AT10" i="5"/>
  <c r="E51" i="9"/>
  <c r="BP12" i="5" l="1"/>
  <c r="CB19" i="5"/>
  <c r="BB19" i="5"/>
  <c r="BP4" i="5"/>
  <c r="AX28" i="5"/>
  <c r="AX29" i="5" s="1"/>
  <c r="BO20" i="5"/>
  <c r="BB5" i="5"/>
  <c r="BB20" i="5"/>
  <c r="BZ20" i="5" s="1"/>
  <c r="AS28" i="5"/>
  <c r="AS29" i="5" s="1"/>
  <c r="AT28" i="5"/>
  <c r="AT29" i="5" s="1"/>
  <c r="G39" i="12"/>
  <c r="AB11" i="12"/>
  <c r="AB45" i="12" s="1"/>
  <c r="AA11" i="12"/>
  <c r="J11" i="12"/>
  <c r="BO13" i="5"/>
  <c r="AS37" i="5"/>
  <c r="AS38" i="5" s="1"/>
  <c r="BP13" i="5"/>
  <c r="CB13" i="5" s="1"/>
  <c r="CB9" i="5"/>
  <c r="CB11" i="5"/>
  <c r="BZ19" i="5"/>
  <c r="BZ9" i="5"/>
  <c r="BZ25" i="5"/>
  <c r="BL11" i="5"/>
  <c r="F75" i="12"/>
  <c r="F80" i="12" s="1"/>
  <c r="CG23" i="5"/>
  <c r="CK23" i="5"/>
  <c r="BW23" i="5"/>
  <c r="BV23" i="5"/>
  <c r="BU23" i="5"/>
  <c r="BT23" i="5"/>
  <c r="BS23" i="5"/>
  <c r="BR23" i="5"/>
  <c r="BQ23" i="5"/>
  <c r="BM23" i="5"/>
  <c r="CF23" i="5"/>
  <c r="BI23" i="5"/>
  <c r="BY23" i="5"/>
  <c r="CE23" i="5"/>
  <c r="CD23" i="5"/>
  <c r="BH23" i="5"/>
  <c r="CI23" i="5"/>
  <c r="CC23" i="5"/>
  <c r="AV23" i="5"/>
  <c r="BC23" i="5" s="1"/>
  <c r="AU23" i="5"/>
  <c r="BB23" i="5" s="1"/>
  <c r="BK23" i="5"/>
  <c r="BG23" i="5"/>
  <c r="CA23" i="5"/>
  <c r="BE23" i="5"/>
  <c r="BD23" i="5"/>
  <c r="BA23" i="5"/>
  <c r="BP23" i="5" s="1"/>
  <c r="AZ23" i="5"/>
  <c r="AY23" i="5"/>
  <c r="BJ23" i="5"/>
  <c r="BF23" i="5"/>
  <c r="CI14" i="5"/>
  <c r="CK14" i="5"/>
  <c r="BW14" i="5"/>
  <c r="BV14" i="5"/>
  <c r="BU14" i="5"/>
  <c r="BT14" i="5"/>
  <c r="BS14" i="5"/>
  <c r="BR14" i="5"/>
  <c r="BQ14" i="5"/>
  <c r="CF14" i="5"/>
  <c r="CE14" i="5"/>
  <c r="CD14" i="5"/>
  <c r="CC14" i="5"/>
  <c r="CA14" i="5"/>
  <c r="BY14" i="5"/>
  <c r="BI14" i="5"/>
  <c r="BH14" i="5"/>
  <c r="BE14" i="5"/>
  <c r="BD14" i="5"/>
  <c r="BA14" i="5"/>
  <c r="BP14" i="5" s="1"/>
  <c r="AZ14" i="5"/>
  <c r="AY14" i="5"/>
  <c r="AV14" i="5"/>
  <c r="BC14" i="5" s="1"/>
  <c r="AU14" i="5"/>
  <c r="BB14" i="5" s="1"/>
  <c r="BK14" i="5"/>
  <c r="BG14" i="5"/>
  <c r="BJ14" i="5"/>
  <c r="BF14" i="5"/>
  <c r="BM14" i="5"/>
  <c r="BC11" i="5"/>
  <c r="BL19" i="5"/>
  <c r="BC12" i="5"/>
  <c r="BC4" i="5"/>
  <c r="BN21" i="5"/>
  <c r="BZ21" i="5" s="1"/>
  <c r="BO9" i="5"/>
  <c r="BL25" i="5"/>
  <c r="CI22" i="5"/>
  <c r="CK22" i="5"/>
  <c r="BW22" i="5"/>
  <c r="BV22" i="5"/>
  <c r="BU22" i="5"/>
  <c r="BT22" i="5"/>
  <c r="BS22" i="5"/>
  <c r="BR22" i="5"/>
  <c r="BQ22" i="5"/>
  <c r="CF22" i="5"/>
  <c r="CE22" i="5"/>
  <c r="CD22" i="5"/>
  <c r="CC22" i="5"/>
  <c r="CA22" i="5"/>
  <c r="BY22" i="5"/>
  <c r="BH22" i="5"/>
  <c r="BK22" i="5"/>
  <c r="BG22" i="5"/>
  <c r="BE22" i="5"/>
  <c r="BD22" i="5"/>
  <c r="BA22" i="5"/>
  <c r="BP22" i="5" s="1"/>
  <c r="AZ22" i="5"/>
  <c r="AY22" i="5"/>
  <c r="AV22" i="5"/>
  <c r="BC22" i="5" s="1"/>
  <c r="AU22" i="5"/>
  <c r="BN22" i="5" s="1"/>
  <c r="BM22" i="5"/>
  <c r="BJ22" i="5"/>
  <c r="BF22" i="5"/>
  <c r="BI22" i="5"/>
  <c r="BD12" i="5"/>
  <c r="CB12" i="5" s="1"/>
  <c r="BP20" i="5"/>
  <c r="CB20" i="5" s="1"/>
  <c r="BD4" i="5"/>
  <c r="CB4" i="5" s="1"/>
  <c r="BB13" i="5"/>
  <c r="BZ13" i="5" s="1"/>
  <c r="BO21" i="5"/>
  <c r="BC25" i="5"/>
  <c r="BX12" i="5"/>
  <c r="BC5" i="5"/>
  <c r="BL13" i="5"/>
  <c r="BP21" i="5"/>
  <c r="CB21" i="5" s="1"/>
  <c r="CI8" i="5"/>
  <c r="CJ8" i="5"/>
  <c r="CK8" i="5"/>
  <c r="BL8" i="5"/>
  <c r="BW8" i="5"/>
  <c r="BV8" i="5"/>
  <c r="BU8" i="5"/>
  <c r="BT8" i="5"/>
  <c r="BS8" i="5"/>
  <c r="CG8" i="5"/>
  <c r="CA8" i="5"/>
  <c r="BZ8" i="5"/>
  <c r="BK8" i="5"/>
  <c r="BG8" i="5"/>
  <c r="BY8" i="5"/>
  <c r="BX8" i="5"/>
  <c r="BR8" i="5"/>
  <c r="BM8" i="5"/>
  <c r="AV8" i="5"/>
  <c r="BC8" i="5" s="1"/>
  <c r="AU8" i="5"/>
  <c r="BB8" i="5" s="1"/>
  <c r="CF8" i="5"/>
  <c r="BJ8" i="5"/>
  <c r="BF8" i="5"/>
  <c r="CE8" i="5"/>
  <c r="CD8" i="5"/>
  <c r="BI8" i="5"/>
  <c r="CH8" i="5"/>
  <c r="CC8" i="5"/>
  <c r="BQ8" i="5"/>
  <c r="BE8" i="5"/>
  <c r="BD8" i="5"/>
  <c r="BA8" i="5"/>
  <c r="BP8" i="5" s="1"/>
  <c r="AZ8" i="5"/>
  <c r="AY8" i="5"/>
  <c r="BH8" i="5"/>
  <c r="BD5" i="5"/>
  <c r="CB5" i="5" s="1"/>
  <c r="CI10" i="5"/>
  <c r="BU10" i="5"/>
  <c r="BQ10" i="5"/>
  <c r="BH10" i="5"/>
  <c r="BE10" i="5"/>
  <c r="BD10" i="5"/>
  <c r="BA10" i="5"/>
  <c r="AZ10" i="5"/>
  <c r="AY10" i="5"/>
  <c r="AV10" i="5"/>
  <c r="BO10" i="5" s="1"/>
  <c r="AU10" i="5"/>
  <c r="BN10" i="5" s="1"/>
  <c r="BV10" i="5"/>
  <c r="CA10" i="5"/>
  <c r="BT10" i="5"/>
  <c r="CK10" i="5"/>
  <c r="BS10" i="5"/>
  <c r="BK10" i="5"/>
  <c r="BG10" i="5"/>
  <c r="CC10" i="5"/>
  <c r="BY10" i="5"/>
  <c r="CF10" i="5"/>
  <c r="BR10" i="5"/>
  <c r="BP10" i="5"/>
  <c r="BM10" i="5"/>
  <c r="BJ10" i="5"/>
  <c r="BF10" i="5"/>
  <c r="CE10" i="5"/>
  <c r="CD10" i="5"/>
  <c r="BW10" i="5"/>
  <c r="BI10" i="5"/>
  <c r="CI16" i="5"/>
  <c r="CK16" i="5"/>
  <c r="BW16" i="5"/>
  <c r="BV16" i="5"/>
  <c r="BU16" i="5"/>
  <c r="BT16" i="5"/>
  <c r="BS16" i="5"/>
  <c r="CD16" i="5"/>
  <c r="BM16" i="5"/>
  <c r="CC16" i="5"/>
  <c r="BJ16" i="5"/>
  <c r="BF16" i="5"/>
  <c r="BQ16" i="5"/>
  <c r="AV16" i="5"/>
  <c r="BC16" i="5" s="1"/>
  <c r="AU16" i="5"/>
  <c r="BN16" i="5" s="1"/>
  <c r="CE16" i="5"/>
  <c r="CA16" i="5"/>
  <c r="BI16" i="5"/>
  <c r="BY16" i="5"/>
  <c r="BH16" i="5"/>
  <c r="CF16" i="5"/>
  <c r="BR16" i="5"/>
  <c r="BE16" i="5"/>
  <c r="BD16" i="5"/>
  <c r="BA16" i="5"/>
  <c r="BP16" i="5" s="1"/>
  <c r="AZ16" i="5"/>
  <c r="AY16" i="5"/>
  <c r="BK16" i="5"/>
  <c r="BG16" i="5"/>
  <c r="BX11" i="5"/>
  <c r="BX19" i="5"/>
  <c r="BL20" i="5"/>
  <c r="BX13" i="5"/>
  <c r="BX25" i="5"/>
  <c r="CI18" i="5"/>
  <c r="CE18" i="5"/>
  <c r="BR18" i="5"/>
  <c r="BK18" i="5"/>
  <c r="BG18" i="5"/>
  <c r="BE18" i="5"/>
  <c r="BD18" i="5"/>
  <c r="BA18" i="5"/>
  <c r="BP18" i="5" s="1"/>
  <c r="CB18" i="5" s="1"/>
  <c r="AZ18" i="5"/>
  <c r="AY18" i="5"/>
  <c r="AV18" i="5"/>
  <c r="BC18" i="5" s="1"/>
  <c r="AU18" i="5"/>
  <c r="BN18" i="5" s="1"/>
  <c r="CF18" i="5"/>
  <c r="CD18" i="5"/>
  <c r="BW18" i="5"/>
  <c r="CC18" i="5"/>
  <c r="BV18" i="5"/>
  <c r="BM18" i="5"/>
  <c r="BJ18" i="5"/>
  <c r="BF18" i="5"/>
  <c r="BU18" i="5"/>
  <c r="CA18" i="5"/>
  <c r="BT18" i="5"/>
  <c r="BQ18" i="5"/>
  <c r="BI18" i="5"/>
  <c r="CK18" i="5"/>
  <c r="BS18" i="5"/>
  <c r="BY18" i="5"/>
  <c r="BH18" i="5"/>
  <c r="CK7" i="5"/>
  <c r="BW7" i="5"/>
  <c r="BV7" i="5"/>
  <c r="BU7" i="5"/>
  <c r="BT7" i="5"/>
  <c r="BS7" i="5"/>
  <c r="BR7" i="5"/>
  <c r="BQ7" i="5"/>
  <c r="BM7" i="5"/>
  <c r="BK7" i="5"/>
  <c r="BG7" i="5"/>
  <c r="BY7" i="5"/>
  <c r="CF7" i="5"/>
  <c r="BJ7" i="5"/>
  <c r="BF7" i="5"/>
  <c r="CA7" i="5"/>
  <c r="CE7" i="5"/>
  <c r="AV7" i="5"/>
  <c r="BC7" i="5" s="1"/>
  <c r="AU7" i="5"/>
  <c r="BB7" i="5" s="1"/>
  <c r="CD7" i="5"/>
  <c r="BI7" i="5"/>
  <c r="CI7" i="5"/>
  <c r="CC7" i="5"/>
  <c r="BE7" i="5"/>
  <c r="BD7" i="5"/>
  <c r="BA7" i="5"/>
  <c r="BP7" i="5" s="1"/>
  <c r="AZ7" i="5"/>
  <c r="AY7" i="5"/>
  <c r="BH7" i="5"/>
  <c r="CI24" i="5"/>
  <c r="CK24" i="5"/>
  <c r="BW24" i="5"/>
  <c r="BV24" i="5"/>
  <c r="BU24" i="5"/>
  <c r="BT24" i="5"/>
  <c r="BS24" i="5"/>
  <c r="BY24" i="5"/>
  <c r="CF24" i="5"/>
  <c r="BI24" i="5"/>
  <c r="CE24" i="5"/>
  <c r="BR24" i="5"/>
  <c r="AV24" i="5"/>
  <c r="BC24" i="5" s="1"/>
  <c r="AU24" i="5"/>
  <c r="BB24" i="5" s="1"/>
  <c r="CD24" i="5"/>
  <c r="BH24" i="5"/>
  <c r="CC24" i="5"/>
  <c r="BK24" i="5"/>
  <c r="BG24" i="5"/>
  <c r="CA24" i="5"/>
  <c r="BQ24" i="5"/>
  <c r="BM24" i="5"/>
  <c r="BE24" i="5"/>
  <c r="BD24" i="5"/>
  <c r="BA24" i="5"/>
  <c r="BP24" i="5" s="1"/>
  <c r="AZ24" i="5"/>
  <c r="AY24" i="5"/>
  <c r="BJ24" i="5"/>
  <c r="BF24" i="5"/>
  <c r="BN12" i="5"/>
  <c r="BZ12" i="5" s="1"/>
  <c r="BL21" i="5"/>
  <c r="BX9" i="5"/>
  <c r="CF17" i="5"/>
  <c r="CE17" i="5"/>
  <c r="CD17" i="5"/>
  <c r="CC17" i="5"/>
  <c r="CA17" i="5"/>
  <c r="BY17" i="5"/>
  <c r="CI17" i="5"/>
  <c r="BK17" i="5"/>
  <c r="BJ17" i="5"/>
  <c r="BI17" i="5"/>
  <c r="BH17" i="5"/>
  <c r="BG17" i="5"/>
  <c r="BF17" i="5"/>
  <c r="CK17" i="5"/>
  <c r="BW17" i="5"/>
  <c r="BV17" i="5"/>
  <c r="BM17" i="5"/>
  <c r="AV17" i="5"/>
  <c r="BO17" i="5" s="1"/>
  <c r="AU17" i="5"/>
  <c r="BN17" i="5" s="1"/>
  <c r="BU17" i="5"/>
  <c r="BR17" i="5"/>
  <c r="BT17" i="5"/>
  <c r="BQ17" i="5"/>
  <c r="BS17" i="5"/>
  <c r="BE17" i="5"/>
  <c r="BP17" i="5"/>
  <c r="AY17" i="5"/>
  <c r="BD17" i="5"/>
  <c r="BA17" i="5"/>
  <c r="AZ17" i="5"/>
  <c r="CI6" i="5"/>
  <c r="CH6" i="5"/>
  <c r="CK6" i="5"/>
  <c r="CJ6" i="5"/>
  <c r="BW6" i="5"/>
  <c r="BV6" i="5"/>
  <c r="BU6" i="5"/>
  <c r="BT6" i="5"/>
  <c r="BS6" i="5"/>
  <c r="BR6" i="5"/>
  <c r="BQ6" i="5"/>
  <c r="BN6" i="5"/>
  <c r="CF6" i="5"/>
  <c r="CE6" i="5"/>
  <c r="CD6" i="5"/>
  <c r="CC6" i="5"/>
  <c r="CA6" i="5"/>
  <c r="BZ6" i="5"/>
  <c r="BY6" i="5"/>
  <c r="BX6" i="5"/>
  <c r="BM6" i="5"/>
  <c r="BJ6" i="5"/>
  <c r="BF6" i="5"/>
  <c r="CG6" i="5"/>
  <c r="BL6" i="5"/>
  <c r="BI6" i="5"/>
  <c r="BE6" i="5"/>
  <c r="BD6" i="5"/>
  <c r="BC6" i="5"/>
  <c r="BA6" i="5"/>
  <c r="BP6" i="5" s="1"/>
  <c r="AZ6" i="5"/>
  <c r="AY6" i="5"/>
  <c r="AV6" i="5"/>
  <c r="BO6" i="5" s="1"/>
  <c r="AU6" i="5"/>
  <c r="BB6" i="5" s="1"/>
  <c r="BH6" i="5"/>
  <c r="BK6" i="5"/>
  <c r="BG6" i="5"/>
  <c r="CH2" i="5"/>
  <c r="CJ2" i="5"/>
  <c r="CI2" i="5"/>
  <c r="CK2" i="5"/>
  <c r="BZ2" i="5"/>
  <c r="BS2" i="5"/>
  <c r="BS28" i="5" s="1"/>
  <c r="BS29" i="5" s="1"/>
  <c r="BQ2" i="5"/>
  <c r="BM2" i="5"/>
  <c r="BJ2" i="5"/>
  <c r="BF2" i="5"/>
  <c r="BE2" i="5"/>
  <c r="BD2" i="5"/>
  <c r="BA2" i="5"/>
  <c r="AZ2" i="5"/>
  <c r="AY2" i="5"/>
  <c r="AV2" i="5"/>
  <c r="AU2" i="5"/>
  <c r="CA2" i="5"/>
  <c r="CG2" i="5"/>
  <c r="BY2" i="5"/>
  <c r="CF2" i="5"/>
  <c r="BI2" i="5"/>
  <c r="BT2" i="5"/>
  <c r="CE2" i="5"/>
  <c r="BX2" i="5"/>
  <c r="CD2" i="5"/>
  <c r="BW2" i="5"/>
  <c r="BR2" i="5"/>
  <c r="BP2" i="5"/>
  <c r="BL2" i="5"/>
  <c r="BH2" i="5"/>
  <c r="CC2" i="5"/>
  <c r="BV2" i="5"/>
  <c r="BU2" i="5"/>
  <c r="BK2" i="5"/>
  <c r="BG2" i="5"/>
  <c r="CK15" i="5"/>
  <c r="BW15" i="5"/>
  <c r="BV15" i="5"/>
  <c r="BU15" i="5"/>
  <c r="BT15" i="5"/>
  <c r="BS15" i="5"/>
  <c r="BR15" i="5"/>
  <c r="BQ15" i="5"/>
  <c r="BM15" i="5"/>
  <c r="CI15" i="5"/>
  <c r="CC15" i="5"/>
  <c r="BJ15" i="5"/>
  <c r="BF15" i="5"/>
  <c r="CD15" i="5"/>
  <c r="CA15" i="5"/>
  <c r="BI15" i="5"/>
  <c r="AV15" i="5"/>
  <c r="BC15" i="5" s="1"/>
  <c r="AU15" i="5"/>
  <c r="BB15" i="5" s="1"/>
  <c r="BY15" i="5"/>
  <c r="BH15" i="5"/>
  <c r="CF15" i="5"/>
  <c r="BE15" i="5"/>
  <c r="BD15" i="5"/>
  <c r="BA15" i="5"/>
  <c r="BP15" i="5" s="1"/>
  <c r="AZ15" i="5"/>
  <c r="AY15" i="5"/>
  <c r="CE15" i="5"/>
  <c r="BK15" i="5"/>
  <c r="BG15" i="5"/>
  <c r="BL9" i="5"/>
  <c r="CB25" i="5"/>
  <c r="C12" i="7"/>
  <c r="C13" i="7"/>
  <c r="C14" i="7"/>
  <c r="CB7" i="5" l="1"/>
  <c r="BX20" i="5"/>
  <c r="BM28" i="5"/>
  <c r="BM29" i="5" s="1"/>
  <c r="I12" i="12" s="1"/>
  <c r="I40" i="12" s="1"/>
  <c r="BH28" i="5"/>
  <c r="BH29" i="5" s="1"/>
  <c r="BN8" i="5"/>
  <c r="BA28" i="5"/>
  <c r="BA29" i="5" s="1"/>
  <c r="CB14" i="5"/>
  <c r="BN2" i="5"/>
  <c r="AU28" i="5"/>
  <c r="AU29" i="5" s="1"/>
  <c r="BN24" i="5"/>
  <c r="BC2" i="5"/>
  <c r="AV28" i="5"/>
  <c r="AV29" i="5" s="1"/>
  <c r="BL14" i="5"/>
  <c r="AA39" i="12"/>
  <c r="J39" i="12"/>
  <c r="BN15" i="5"/>
  <c r="BZ15" i="5" s="1"/>
  <c r="BT28" i="5"/>
  <c r="BT29" i="5" s="1"/>
  <c r="AY28" i="5"/>
  <c r="AY29" i="5" s="1"/>
  <c r="AY37" i="5"/>
  <c r="AY38" i="5" s="1"/>
  <c r="AV37" i="5"/>
  <c r="AV38" i="5" s="1"/>
  <c r="BO15" i="5"/>
  <c r="BI28" i="5"/>
  <c r="BI29" i="5" s="1"/>
  <c r="AZ28" i="5"/>
  <c r="AZ29" i="5" s="1"/>
  <c r="BQ28" i="5"/>
  <c r="BQ29" i="5" s="1"/>
  <c r="BO24" i="5"/>
  <c r="CB8" i="5"/>
  <c r="F12" i="12"/>
  <c r="F40" i="12" s="1"/>
  <c r="D6" i="10"/>
  <c r="F10" i="12"/>
  <c r="D4" i="10"/>
  <c r="BB17" i="5"/>
  <c r="BZ17" i="5" s="1"/>
  <c r="I4" i="10"/>
  <c r="K10" i="12"/>
  <c r="BB2" i="5"/>
  <c r="BB18" i="5"/>
  <c r="CB23" i="5"/>
  <c r="BO8" i="5"/>
  <c r="BL22" i="5"/>
  <c r="CB17" i="5"/>
  <c r="CB2" i="5"/>
  <c r="BP28" i="5"/>
  <c r="BP29" i="5" s="1"/>
  <c r="BG28" i="5"/>
  <c r="BG29" i="5" s="1"/>
  <c r="BR28" i="5"/>
  <c r="BR29" i="5" s="1"/>
  <c r="BY28" i="5"/>
  <c r="BY29" i="5" s="1"/>
  <c r="CF28" i="5"/>
  <c r="CF29" i="5" s="1"/>
  <c r="BK28" i="5"/>
  <c r="BK29" i="5" s="1"/>
  <c r="BW28" i="5"/>
  <c r="BW29" i="5" s="1"/>
  <c r="BD28" i="5"/>
  <c r="BD29" i="5" s="1"/>
  <c r="CK28" i="5"/>
  <c r="CK29" i="5" s="1"/>
  <c r="BU28" i="5"/>
  <c r="BU29" i="5" s="1"/>
  <c r="CD28" i="5"/>
  <c r="CD29" i="5" s="1"/>
  <c r="CA28" i="5"/>
  <c r="CA29" i="5" s="1"/>
  <c r="BE28" i="5"/>
  <c r="BE29" i="5" s="1"/>
  <c r="CI28" i="5"/>
  <c r="CI29" i="5" s="1"/>
  <c r="CB16" i="5"/>
  <c r="CB10" i="5"/>
  <c r="BV28" i="5"/>
  <c r="BV29" i="5" s="1"/>
  <c r="BF28" i="5"/>
  <c r="BF29" i="5" s="1"/>
  <c r="CC28" i="5"/>
  <c r="CC29" i="5" s="1"/>
  <c r="CE28" i="5"/>
  <c r="CE29" i="5" s="1"/>
  <c r="BJ28" i="5"/>
  <c r="BJ29" i="5" s="1"/>
  <c r="CB6" i="5"/>
  <c r="BZ18" i="5"/>
  <c r="CB22" i="5"/>
  <c r="BZ24" i="5"/>
  <c r="BL15" i="5"/>
  <c r="BL10" i="5"/>
  <c r="BO22" i="5"/>
  <c r="BN23" i="5"/>
  <c r="BZ23" i="5" s="1"/>
  <c r="BL17" i="5"/>
  <c r="BX7" i="5"/>
  <c r="BC17" i="5"/>
  <c r="BN7" i="5"/>
  <c r="BZ7" i="5" s="1"/>
  <c r="BL18" i="5"/>
  <c r="BX10" i="5"/>
  <c r="BB22" i="5"/>
  <c r="BZ22" i="5" s="1"/>
  <c r="BX14" i="5"/>
  <c r="BO23" i="5"/>
  <c r="BO2" i="5"/>
  <c r="BO7" i="5"/>
  <c r="BO18" i="5"/>
  <c r="BB16" i="5"/>
  <c r="BZ16" i="5" s="1"/>
  <c r="BO16" i="5"/>
  <c r="BB10" i="5"/>
  <c r="BZ10" i="5" s="1"/>
  <c r="BN14" i="5"/>
  <c r="BZ14" i="5" s="1"/>
  <c r="BL7" i="5"/>
  <c r="BX16" i="5"/>
  <c r="BC10" i="5"/>
  <c r="BC28" i="5" s="1"/>
  <c r="BC29" i="5" s="1"/>
  <c r="BO14" i="5"/>
  <c r="BX15" i="5"/>
  <c r="CB24" i="5"/>
  <c r="BX24" i="5"/>
  <c r="BL16" i="5"/>
  <c r="BL23" i="5"/>
  <c r="BX18" i="5"/>
  <c r="BX21" i="5"/>
  <c r="BX17" i="5"/>
  <c r="CB15" i="5"/>
  <c r="BL24" i="5"/>
  <c r="BX22" i="5"/>
  <c r="BL12" i="5"/>
  <c r="BX23" i="5"/>
  <c r="D14" i="7"/>
  <c r="D7" i="10" l="1"/>
  <c r="D10" i="10" s="1"/>
  <c r="G6" i="10"/>
  <c r="BA37" i="5"/>
  <c r="BA38" i="5" s="1"/>
  <c r="H12" i="12"/>
  <c r="H40" i="12" s="1"/>
  <c r="F6" i="10"/>
  <c r="AW37" i="5"/>
  <c r="AW38" i="5" s="1"/>
  <c r="BZ28" i="5"/>
  <c r="BZ29" i="5" s="1"/>
  <c r="J6" i="10"/>
  <c r="L12" i="12"/>
  <c r="G10" i="12"/>
  <c r="E4" i="10"/>
  <c r="BL28" i="5"/>
  <c r="BL29" i="5" s="1"/>
  <c r="BN28" i="5"/>
  <c r="BN29" i="5" s="1"/>
  <c r="G12" i="12"/>
  <c r="E6" i="10"/>
  <c r="AC39" i="12"/>
  <c r="AA45" i="12"/>
  <c r="AC45" i="12" s="1"/>
  <c r="F13" i="12"/>
  <c r="F16" i="12" s="1"/>
  <c r="F38" i="12"/>
  <c r="F41" i="12" s="1"/>
  <c r="M12" i="12"/>
  <c r="M40" i="12" s="1"/>
  <c r="K6" i="10"/>
  <c r="AX37" i="5"/>
  <c r="AX38" i="5" s="1"/>
  <c r="AZ37" i="5"/>
  <c r="AZ38" i="5" s="1"/>
  <c r="BX28" i="5"/>
  <c r="BX29" i="5" s="1"/>
  <c r="BB28" i="5"/>
  <c r="BB29" i="5" s="1"/>
  <c r="CB28" i="5"/>
  <c r="CB29" i="5" s="1"/>
  <c r="BO28" i="5"/>
  <c r="BO29" i="5" s="1"/>
  <c r="AB10" i="9"/>
  <c r="H10" i="12" l="1"/>
  <c r="F4" i="10"/>
  <c r="F7" i="10" s="1"/>
  <c r="F43" i="12"/>
  <c r="F44" i="12"/>
  <c r="F45" i="12"/>
  <c r="E7" i="10"/>
  <c r="G38" i="12"/>
  <c r="AA10" i="12"/>
  <c r="G13" i="12"/>
  <c r="N12" i="12"/>
  <c r="L40" i="12"/>
  <c r="N40" i="12" s="1"/>
  <c r="L6" i="10"/>
  <c r="J4" i="10"/>
  <c r="L10" i="12"/>
  <c r="G40" i="12"/>
  <c r="J40" i="12" s="1"/>
  <c r="J12" i="12"/>
  <c r="H6" i="10"/>
  <c r="I10" i="12"/>
  <c r="G4" i="10"/>
  <c r="G7" i="10" s="1"/>
  <c r="AA11" i="9"/>
  <c r="AC11" i="9"/>
  <c r="AA10" i="9"/>
  <c r="L13" i="12" l="1"/>
  <c r="L38" i="12"/>
  <c r="J7" i="10"/>
  <c r="H4" i="10"/>
  <c r="E9" i="10"/>
  <c r="G41" i="12"/>
  <c r="AA38" i="12"/>
  <c r="I13" i="12"/>
  <c r="I38" i="12"/>
  <c r="J10" i="12"/>
  <c r="H7" i="10"/>
  <c r="F9" i="10" s="1"/>
  <c r="F10" i="10" s="1"/>
  <c r="H38" i="12"/>
  <c r="H41" i="12" s="1"/>
  <c r="H13" i="12"/>
  <c r="AC10" i="9"/>
  <c r="J13" i="12" l="1"/>
  <c r="H15" i="12"/>
  <c r="H16" i="12" s="1"/>
  <c r="G15" i="12"/>
  <c r="G9" i="10"/>
  <c r="G10" i="10" s="1"/>
  <c r="E10" i="10"/>
  <c r="H9" i="10"/>
  <c r="H10" i="10" s="1"/>
  <c r="G51" i="12"/>
  <c r="L41" i="12"/>
  <c r="I41" i="12"/>
  <c r="J38" i="12"/>
  <c r="J41" i="12" s="1"/>
  <c r="H51" i="12" s="1"/>
  <c r="AA44" i="12"/>
  <c r="E73" i="9"/>
  <c r="E72" i="9"/>
  <c r="G52" i="12" l="1"/>
  <c r="G56" i="12" s="1"/>
  <c r="G60" i="12" s="1"/>
  <c r="G43" i="12"/>
  <c r="I51" i="12"/>
  <c r="G16" i="12"/>
  <c r="I15" i="12"/>
  <c r="I16" i="12" s="1"/>
  <c r="H52" i="12"/>
  <c r="H56" i="12" s="1"/>
  <c r="H60" i="12" s="1"/>
  <c r="H43" i="12"/>
  <c r="J79" i="9"/>
  <c r="J78" i="9"/>
  <c r="J77" i="9"/>
  <c r="I43" i="12" l="1"/>
  <c r="I52" i="12"/>
  <c r="I56" i="12" s="1"/>
  <c r="I60" i="12" s="1"/>
  <c r="J43" i="12"/>
  <c r="K43" i="12" s="1"/>
  <c r="J51" i="12"/>
  <c r="J52" i="12" s="1"/>
  <c r="J56" i="12" s="1"/>
  <c r="J60" i="12" s="1"/>
  <c r="J67" i="12" s="1"/>
  <c r="G44" i="12"/>
  <c r="G67" i="12"/>
  <c r="G45" i="12" s="1"/>
  <c r="H44" i="12"/>
  <c r="H67" i="12"/>
  <c r="J15" i="12"/>
  <c r="J16" i="12" s="1"/>
  <c r="H63" i="9"/>
  <c r="H45" i="12" l="1"/>
  <c r="G72" i="12"/>
  <c r="I72" i="12" s="1"/>
  <c r="J72" i="12" s="1"/>
  <c r="O72" i="12"/>
  <c r="M72" i="12"/>
  <c r="G73" i="12"/>
  <c r="H68" i="12"/>
  <c r="J68" i="12" s="1"/>
  <c r="I44" i="12"/>
  <c r="J44" i="12" s="1"/>
  <c r="K44" i="12" s="1"/>
  <c r="I67" i="12"/>
  <c r="L16" i="12"/>
  <c r="J10" i="10"/>
  <c r="K8" i="9"/>
  <c r="G75" i="12" l="1"/>
  <c r="G80" i="12" s="1"/>
  <c r="I73" i="12"/>
  <c r="J73" i="12" s="1"/>
  <c r="H75" i="12"/>
  <c r="H80" i="12" s="1"/>
  <c r="I45" i="12"/>
  <c r="J45" i="12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3" i="5" l="1"/>
  <c r="CH21" i="5"/>
  <c r="CH22" i="5"/>
  <c r="CH7" i="5"/>
  <c r="CH28" i="5" s="1"/>
  <c r="CH29" i="5" s="1"/>
  <c r="CH15" i="5"/>
  <c r="CH23" i="5"/>
  <c r="CJ23" i="5" s="1"/>
  <c r="CH16" i="5"/>
  <c r="CH24" i="5"/>
  <c r="CH10" i="5"/>
  <c r="CH9" i="5"/>
  <c r="CH17" i="5"/>
  <c r="CH25" i="5"/>
  <c r="CH18" i="5"/>
  <c r="CH11" i="5"/>
  <c r="CH19" i="5"/>
  <c r="CH12" i="5"/>
  <c r="CH20" i="5"/>
  <c r="CH14" i="5"/>
  <c r="CG11" i="5"/>
  <c r="CG19" i="5"/>
  <c r="CG12" i="5"/>
  <c r="CG20" i="5"/>
  <c r="CG13" i="5"/>
  <c r="CG21" i="5"/>
  <c r="CG14" i="5"/>
  <c r="CG22" i="5"/>
  <c r="CJ22" i="5" s="1"/>
  <c r="CG7" i="5"/>
  <c r="CG15" i="5"/>
  <c r="CG16" i="5"/>
  <c r="CG24" i="5"/>
  <c r="CG9" i="5"/>
  <c r="CG17" i="5"/>
  <c r="CJ17" i="5" s="1"/>
  <c r="CG25" i="5"/>
  <c r="CG10" i="5"/>
  <c r="CJ10" i="5" s="1"/>
  <c r="CG18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4" i="5" l="1"/>
  <c r="CJ21" i="5"/>
  <c r="CJ9" i="5"/>
  <c r="CJ13" i="5"/>
  <c r="CJ14" i="5"/>
  <c r="CJ20" i="5"/>
  <c r="CG28" i="5"/>
  <c r="CG29" i="5" s="1"/>
  <c r="CJ7" i="5"/>
  <c r="CJ28" i="5" s="1"/>
  <c r="CJ29" i="5" s="1"/>
  <c r="CJ15" i="5"/>
  <c r="CJ16" i="5"/>
  <c r="CJ12" i="5"/>
  <c r="CJ19" i="5"/>
  <c r="CJ18" i="5"/>
  <c r="CJ11" i="5"/>
  <c r="CJ25" i="5"/>
  <c r="F80" i="9"/>
  <c r="F45" i="9"/>
  <c r="N22" i="9"/>
  <c r="N21" i="9"/>
  <c r="H51" i="9"/>
  <c r="H43" i="9" s="1"/>
  <c r="I51" i="9"/>
  <c r="I43" i="9" s="1"/>
  <c r="K4" i="10" l="1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3" i="12" l="1"/>
  <c r="M38" i="12"/>
  <c r="N10" i="12"/>
  <c r="N13" i="12" s="1"/>
  <c r="AB10" i="12"/>
  <c r="AC10" i="12" s="1"/>
  <c r="K7" i="10"/>
  <c r="L4" i="10"/>
  <c r="L7" i="10" s="1"/>
  <c r="N41" i="9"/>
  <c r="N38" i="9"/>
  <c r="J43" i="9"/>
  <c r="K43" i="9" s="1"/>
  <c r="I67" i="9"/>
  <c r="I45" i="9" s="1"/>
  <c r="M41" i="12" l="1"/>
  <c r="AB38" i="12"/>
  <c r="N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A5ECFEB-F8D1-447B-8215-F8321928FEF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770494B-BFFE-46F0-B9B4-E3009881455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D80046B-134E-436A-9E17-CDFD79D4898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15BA275-59A9-4864-8FC4-2416BADD92C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68294F6-F0AC-4CF9-BF42-D6E1DED3D88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B5EB329-3B52-4F03-B604-586834D035F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6262C51-7069-4711-8212-0247B273F53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FEDAD42-3F11-41E5-838C-EF8F7119FAC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630E03E-408A-479F-9025-55FE0DE5373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BF4B057-5A4B-40A1-8A1A-A19002FD39D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<sst xmlns="http://schemas.openxmlformats.org/spreadsheetml/2006/main" count="909" uniqueCount="383">
  <si>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</si>
  <si>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</si>
  <si>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</si>
  <si>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</si>
  <si>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</si>
  <si>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</si>
  <si>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</si>
  <si>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</si>
  <si>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</si>
  <si>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</si>
  <si>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</si>
  <si>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</si>
  <si>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</si>
  <si>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</si>
  <si>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</si>
  <si>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</si>
  <si>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</si>
  <si>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</si>
  <si>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</si>
  <si>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</si>
  <si>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</si>
  <si>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</si>
  <si>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</si>
  <si>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</si>
  <si>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</si>
  <si>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</si>
  <si>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</si>
  <si>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</si>
  <si>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</si>
  <si>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</si>
  <si>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</si>
  <si>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</si>
  <si>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</si>
  <si>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</si>
  <si>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</si>
  <si>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</si>
  <si>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</si>
  <si>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</si>
  <si>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</si>
  <si>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</si>
  <si>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</si>
  <si>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</si>
  <si>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</si>
  <si>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</si>
  <si>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</si>
  <si>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</si>
  <si>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</si>
  <si>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</si>
  <si>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</si>
  <si>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</si>
  <si>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</si>
  <si>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</si>
  <si>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</si>
  <si>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</si>
  <si>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</si>
  <si>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</si>
  <si>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</si>
  <si>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</si>
  <si>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</si>
  <si>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</si>
  <si>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</si>
  <si>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</si>
  <si>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</si>
  <si>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</si>
  <si>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</si>
  <si>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</si>
  <si>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</si>
  <si>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</si>
  <si>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</si>
  <si>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</si>
  <si>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</si>
  <si>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</si>
  <si>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</si>
  <si>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</si>
  <si>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</si>
  <si>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</si>
  <si>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</si>
  <si>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</si>
  <si>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</si>
  <si>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</si>
  <si>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</si>
  <si>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</si>
  <si>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</si>
  <si>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</si>
  <si>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</si>
  <si>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</si>
  <si>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</si>
  <si>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</si>
  <si>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</si>
  <si>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</si>
  <si>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</si>
  <si>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</si>
  <si>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</si>
  <si>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</si>
  <si>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</si>
  <si>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</si>
  <si>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</si>
  <si>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</si>
  <si>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</si>
  <si>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</si>
  <si>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</si>
  <si>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</si>
  <si>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</si>
  <si>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</si>
  <si>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</si>
  <si>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</si>
  <si>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</si>
  <si>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</si>
  <si>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</si>
  <si>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</si>
  <si>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</si>
  <si>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</si>
  <si>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</si>
  <si>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</si>
  <si>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</si>
  <si>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</si>
  <si>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</si>
  <si>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</si>
  <si>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</si>
  <si>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</si>
  <si>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</si>
  <si>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</si>
  <si>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</si>
  <si>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</si>
  <si>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</si>
  <si>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</si>
  <si>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</si>
  <si>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</si>
  <si>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</si>
  <si>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</si>
  <si>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</si>
  <si>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</si>
  <si>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</si>
  <si>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</si>
  <si>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</si>
  <si>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</si>
  <si>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</si>
  <si>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</si>
  <si>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</si>
  <si>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</si>
  <si>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</si>
  <si>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</si>
  <si>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</si>
  <si>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</si>
  <si>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</si>
  <si>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</si>
  <si>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</si>
  <si>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</si>
  <si>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</si>
  <si>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</si>
  <si>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</si>
  <si>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</si>
  <si>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</si>
  <si>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</si>
  <si>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</si>
  <si>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</si>
  <si>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</si>
  <si>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</si>
  <si>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</si>
  <si>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</si>
  <si>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</si>
  <si>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</si>
  <si>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</si>
  <si>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194</t>
  </si>
  <si>
    <t>9999</t>
  </si>
  <si>
    <t xml:space="preserve">GROUP POSITION      </t>
  </si>
  <si>
    <t>0475</t>
  </si>
  <si>
    <t>12</t>
  </si>
  <si>
    <t>GVHR</t>
  </si>
  <si>
    <t>001</t>
  </si>
  <si>
    <t>90000</t>
  </si>
  <si>
    <t>00</t>
  </si>
  <si>
    <t>V</t>
  </si>
  <si>
    <t>NG</t>
  </si>
  <si>
    <t>N</t>
  </si>
  <si>
    <t>9916</t>
  </si>
  <si>
    <t>IDAHO PERSONNEL COMM</t>
  </si>
  <si>
    <t>50300</t>
  </si>
  <si>
    <t>F</t>
  </si>
  <si>
    <t>1221</t>
  </si>
  <si>
    <t>HUMAN RESOURCE SPEC,</t>
  </si>
  <si>
    <t>05134</t>
  </si>
  <si>
    <t>M</t>
  </si>
  <si>
    <t>CR</t>
  </si>
  <si>
    <t>1214</t>
  </si>
  <si>
    <t>MANAGEMENT ASSISTANT</t>
  </si>
  <si>
    <t>05272</t>
  </si>
  <si>
    <t>J</t>
  </si>
  <si>
    <t>1212</t>
  </si>
  <si>
    <t>2117</t>
  </si>
  <si>
    <t xml:space="preserve">TRAINING &amp; DEV MGR  </t>
  </si>
  <si>
    <t>05120</t>
  </si>
  <si>
    <t>CLOUD, CARRIE L.</t>
  </si>
  <si>
    <t>CLOUD</t>
  </si>
  <si>
    <t>CARRIE</t>
  </si>
  <si>
    <t>LYNN</t>
  </si>
  <si>
    <t xml:space="preserve">HN   </t>
  </si>
  <si>
    <t>H</t>
  </si>
  <si>
    <t>FS</t>
  </si>
  <si>
    <t>E</t>
  </si>
  <si>
    <t>Y</t>
  </si>
  <si>
    <t xml:space="preserve">    </t>
  </si>
  <si>
    <t>0017</t>
  </si>
  <si>
    <t xml:space="preserve">TRAINING SPEC       </t>
  </si>
  <si>
    <t>05122</t>
  </si>
  <si>
    <t>L</t>
  </si>
  <si>
    <t>2116</t>
  </si>
  <si>
    <t xml:space="preserve">PROGRAM MANAGER     </t>
  </si>
  <si>
    <t>09047</t>
  </si>
  <si>
    <t>WESTENSKOW, HALEY N.</t>
  </si>
  <si>
    <t>WESTENSKOW</t>
  </si>
  <si>
    <t>HALEY</t>
  </si>
  <si>
    <t>NICHOLE</t>
  </si>
  <si>
    <t>2115</t>
  </si>
  <si>
    <t>MATTOON, ASHLEY R.</t>
  </si>
  <si>
    <t>MATTOON</t>
  </si>
  <si>
    <t>ASHLEY</t>
  </si>
  <si>
    <t>RAIN</t>
  </si>
  <si>
    <t>2114</t>
  </si>
  <si>
    <t>BUTLER, COURTNEY M.</t>
  </si>
  <si>
    <t>BUTLER</t>
  </si>
  <si>
    <t>COURTNEY</t>
  </si>
  <si>
    <t>MARQUIS</t>
  </si>
  <si>
    <t>2113</t>
  </si>
  <si>
    <t>MCDONALD, JANELLE A.</t>
  </si>
  <si>
    <t>MCDONALD</t>
  </si>
  <si>
    <t>JANELLE</t>
  </si>
  <si>
    <t>ANGELIQUE</t>
  </si>
  <si>
    <t>2112</t>
  </si>
  <si>
    <t>BUREAU CHIEF, OPS DH</t>
  </si>
  <si>
    <t>04610</t>
  </si>
  <si>
    <t>P</t>
  </si>
  <si>
    <t>WHITE, JANELLE D.</t>
  </si>
  <si>
    <t>WHITE</t>
  </si>
  <si>
    <t>DEE</t>
  </si>
  <si>
    <t xml:space="preserve">HP   </t>
  </si>
  <si>
    <t>2110</t>
  </si>
  <si>
    <t>HR STRATEGIC BUS PAR</t>
  </si>
  <si>
    <t>05137</t>
  </si>
  <si>
    <t>O</t>
  </si>
  <si>
    <t>PEUGH, MICHELLE R.</t>
  </si>
  <si>
    <t>PEUGH</t>
  </si>
  <si>
    <t>MICHELLE</t>
  </si>
  <si>
    <t>RENEE</t>
  </si>
  <si>
    <t xml:space="preserve">HO   </t>
  </si>
  <si>
    <t>1514</t>
  </si>
  <si>
    <t xml:space="preserve">HUMAN RESOURCES PRG </t>
  </si>
  <si>
    <t>05932</t>
  </si>
  <si>
    <t>BUFFI, SHEENA D.</t>
  </si>
  <si>
    <t>BUFFI</t>
  </si>
  <si>
    <t>SHEENA</t>
  </si>
  <si>
    <t>1513</t>
  </si>
  <si>
    <t>CHIEF LEARNING OFFIC</t>
  </si>
  <si>
    <t>05113</t>
  </si>
  <si>
    <t>FISHER, ANGELA K.</t>
  </si>
  <si>
    <t>FISHER</t>
  </si>
  <si>
    <t>ANGELA</t>
  </si>
  <si>
    <t>KRAFT</t>
  </si>
  <si>
    <t>1512</t>
  </si>
  <si>
    <t>DUNCAN, SHARON L.</t>
  </si>
  <si>
    <t>DUNCAN</t>
  </si>
  <si>
    <t>SHARON</t>
  </si>
  <si>
    <t>1223</t>
  </si>
  <si>
    <t xml:space="preserve">HUMAN RESOURCE SPEC </t>
  </si>
  <si>
    <t>05141</t>
  </si>
  <si>
    <t>K</t>
  </si>
  <si>
    <t>EISMANN, CHRISTIAN H.</t>
  </si>
  <si>
    <t>EISMANN</t>
  </si>
  <si>
    <t>CHRISTIAN</t>
  </si>
  <si>
    <t xml:space="preserve">HK   </t>
  </si>
  <si>
    <t>1222</t>
  </si>
  <si>
    <t>MANAGEMENT ANALYST S</t>
  </si>
  <si>
    <t>05207</t>
  </si>
  <si>
    <t>HALL, RACHEAL R.</t>
  </si>
  <si>
    <t>HALL</t>
  </si>
  <si>
    <t>RACHEAL</t>
  </si>
  <si>
    <t>RENAE</t>
  </si>
  <si>
    <t xml:space="preserve">HM   </t>
  </si>
  <si>
    <t>1213</t>
  </si>
  <si>
    <t>HALL, HANNA M.</t>
  </si>
  <si>
    <t>HANNA</t>
  </si>
  <si>
    <t>MARIE</t>
  </si>
  <si>
    <t>1211</t>
  </si>
  <si>
    <t>ZIMMERMAN, CHRYSTELLE C.</t>
  </si>
  <si>
    <t>ZIMMERMAN</t>
  </si>
  <si>
    <t>CHRYSTELLE</t>
  </si>
  <si>
    <t>CATHRINE</t>
  </si>
  <si>
    <t>1117</t>
  </si>
  <si>
    <t>HUFFAKER, JANA L.</t>
  </si>
  <si>
    <t>HUFFAKER</t>
  </si>
  <si>
    <t>JANA</t>
  </si>
  <si>
    <t>1110</t>
  </si>
  <si>
    <t xml:space="preserve">ADMINISTRATOR       </t>
  </si>
  <si>
    <t>29000</t>
  </si>
  <si>
    <t>NR</t>
  </si>
  <si>
    <t>WOLFF, LORI A.</t>
  </si>
  <si>
    <t>WOLFF</t>
  </si>
  <si>
    <t>LORI</t>
  </si>
  <si>
    <t>ARFMANN</t>
  </si>
  <si>
    <t>00000</t>
  </si>
  <si>
    <t>0029</t>
  </si>
  <si>
    <t>COMMUNICATIONS MANAG</t>
  </si>
  <si>
    <t>05581</t>
  </si>
  <si>
    <t>SERRANO, BRENNAN D.</t>
  </si>
  <si>
    <t>SERRANO</t>
  </si>
  <si>
    <t>BRENNAN</t>
  </si>
  <si>
    <t>DUSTIN KIER</t>
  </si>
  <si>
    <t>0005</t>
  </si>
  <si>
    <t>HUMAN RESOURCE ASSOC</t>
  </si>
  <si>
    <t>05158</t>
  </si>
  <si>
    <t>I</t>
  </si>
  <si>
    <t xml:space="preserve">RUSSELL, CLAIRE </t>
  </si>
  <si>
    <t>RUSSELL</t>
  </si>
  <si>
    <t>CLAIRE</t>
  </si>
  <si>
    <t xml:space="preserve">              </t>
  </si>
  <si>
    <t xml:space="preserve">HI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</si>
  <si>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</si>
  <si>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</si>
  <si>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</si>
  <si>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</si>
  <si>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</si>
  <si>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</si>
  <si>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</si>
  <si>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</si>
  <si>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</si>
  <si>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</si>
  <si>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</si>
  <si>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</si>
  <si>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</si>
  <si>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</si>
  <si>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</si>
  <si>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</si>
  <si>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</si>
  <si>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</si>
  <si>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</si>
  <si>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</si>
  <si>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</si>
  <si>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</si>
  <si>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</si>
  <si>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</si>
  <si>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</si>
  <si>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</si>
  <si>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</si>
  <si>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</si>
  <si>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</si>
  <si>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</si>
  <si>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</si>
  <si>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</si>
  <si>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</si>
  <si>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</si>
  <si>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</si>
  <si>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</si>
  <si>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</si>
  <si>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</si>
  <si>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</si>
  <si>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</si>
  <si>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</si>
  <si>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</si>
  <si>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</si>
  <si>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</si>
  <si>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</si>
  <si>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</si>
  <si>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</si>
  <si>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</si>
  <si>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GVHR 0475-12</t>
  </si>
  <si>
    <t>GVHR 0475</t>
  </si>
  <si>
    <t>Office of the Governor</t>
  </si>
  <si>
    <t>Division of Human Resources</t>
  </si>
  <si>
    <t>0475-12</t>
  </si>
  <si>
    <t>47512</t>
  </si>
  <si>
    <t>Division of Human Resources, Division of Human Resources   GVHR-0475-12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</si>
  <si>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</si>
  <si>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</si>
  <si>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</si>
  <si>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</si>
  <si>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</si>
  <si>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</si>
  <si>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</si>
  <si>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Fund-0475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</si>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</sst>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FE7A6-DBA8-46DC-9091-B4335759AC33}">
  <sheetPr codeName="Sheet6"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366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194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367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369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367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367</v>
      </c>
      <c r="J5" s="474"/>
      <c r="K5" s="474"/>
      <c r="L5" s="473"/>
      <c r="M5" s="352" t="s">
        <v>113</v>
      </c>
      <c r="N5" s="32" t="s">
        <v>368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"&amp;'GVHR|0475-12'!FiscalYear-1&amp;" SALARY"</f>
        <v>FY 2023 SALARY</v>
      </c>
      <c r="H8" s="50" t="str">
        <f>"FY "&amp;'GVHR|0475-12'!FiscalYear-1&amp;" HEALTH BENEFITS"</f>
        <v>FY 2023 HEALTH BENEFITS</v>
      </c>
      <c r="I8" s="50" t="str">
        <f>"FY "&amp;'GVHR|0475-12'!FiscalYear-1&amp;" VAR BENEFITS"</f>
        <v>FY 2023 VAR BENEFITS</v>
      </c>
      <c r="J8" s="50" t="str">
        <f>"FY "&amp;'GVHR|0475-12'!FiscalYear-1&amp;" TOTAL"</f>
        <v>FY 2023 TOTAL</v>
      </c>
      <c r="K8" s="50" t="str">
        <f>"FY "&amp;'GVHR|0475-12'!FiscalYear&amp;" SALARY CHANGE"</f>
        <v>FY 2024 SALARY CHANGE</v>
      </c>
      <c r="L8" s="50" t="str">
        <f>"FY "&amp;'GVHR|0475-12'!FiscalYear&amp;" CHG HEALTH BENEFITS"</f>
        <v>FY 2024 CHG HEALTH BENEFITS</v>
      </c>
      <c r="M8" s="50" t="str">
        <f>"FY "&amp;'GVHR|0475-12'!FiscalYear&amp;"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[0]!GVHR047512col_INC_FTI</f>
        <v>18</v>
      </c>
      <c r="G10" s="218">
        <f>[0]!GVHR047512col_FTI_SALARY_PERM</f>
        <v>1491859.1999999997</v>
      </c>
      <c r="H10" s="218">
        <f>[0]!GVHR047512col_HEALTH_PERM</f>
        <v>225000</v>
      </c>
      <c r="I10" s="218">
        <f>[0]!GVHR047512col_TOT_VB_PERM</f>
        <v>311030.77087999997</v>
      </c>
      <c r="J10" s="219">
        <f>SUM(G10:I10)</f>
        <v>2027889.9708799997</v>
      </c>
      <c r="K10" s="219">
        <f>[0]!GVHR047512col_1_27TH_PP</f>
        <v>0</v>
      </c>
      <c r="L10" s="218">
        <f>[0]!GVHR047512col_HEALTH_PERM_CHG</f>
        <v>22500</v>
      </c>
      <c r="M10" s="218">
        <f>[0]!GVHR047512col_TOT_VB_PERM_CHG</f>
        <v>-12420.403200000017</v>
      </c>
      <c r="N10" s="218">
        <f>SUM(L10:M10)</f>
        <v>10079.596799999983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14900</v>
      </c>
      <c r="AB10" s="335">
        <f>ROUND(PermVarBen*CECPerm+(CECPerm*PermVarBenChg),-2)</f>
        <v>3000</v>
      </c>
      <c r="AC10" s="335">
        <f>SUM(AA10:AB10)</f>
        <v>17900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[0]!GVHR047512col_Group_Salary</f>
        <v>0</v>
      </c>
      <c r="H11" s="218">
        <v>0</v>
      </c>
      <c r="I11" s="218">
        <f>[0]!GVHR047512col_Group_Ben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[0]!GVHR047512col_TOTAL_ELECT_PCN_FTI</f>
        <v>0</v>
      </c>
      <c r="G12" s="218">
        <f>[0]!GVHR047512col_FTI_SALARY_ELECT</f>
        <v>0</v>
      </c>
      <c r="H12" s="218">
        <f>[0]!GVHR047512col_HEALTH_ELECT</f>
        <v>0</v>
      </c>
      <c r="I12" s="218">
        <f>[0]!GVHR047512col_TOT_VB_ELECT</f>
        <v>0</v>
      </c>
      <c r="J12" s="219">
        <f>SUM(G12:I12)</f>
        <v>0</v>
      </c>
      <c r="K12" s="268"/>
      <c r="L12" s="218">
        <f>[0]!GVHR047512col_HEALTH_ELECT_CHG</f>
        <v>0</v>
      </c>
      <c r="M12" s="218">
        <f>[0]!GVHR047512col_TOT_VB_ELECT_CHG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18</v>
      </c>
      <c r="G13" s="221">
        <f>SUM(G10:G12)</f>
        <v>1491859.1999999997</v>
      </c>
      <c r="H13" s="221">
        <f>SUM(H10:H12)</f>
        <v>225000</v>
      </c>
      <c r="I13" s="221">
        <f>SUM(I10:I12)</f>
        <v>311030.77087999997</v>
      </c>
      <c r="J13" s="219">
        <f>SUM(G13:I13)</f>
        <v>2027889.9708799997</v>
      </c>
      <c r="K13" s="268"/>
      <c r="L13" s="219">
        <f>SUM(L10:L12)</f>
        <v>22500</v>
      </c>
      <c r="M13" s="219">
        <f>SUM(M10:M12)</f>
        <v>-12420.403200000017</v>
      </c>
      <c r="N13" s="219">
        <f>SUM(N10:N12)</f>
        <v>10079.596799999983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"&amp;'GVHR|0475-12'!FiscalYear-1</f>
        <v>FY 2023</v>
      </c>
      <c r="D15" s="158" t="s">
        <v>31</v>
      </c>
      <c r="E15" s="355">
        <v>2394300</v>
      </c>
      <c r="F15" s="55">
        <v>22</v>
      </c>
      <c r="G15" s="223">
        <f>IF(OrigApprop=0,0,(G13/$J$13)*OrigApprop)</f>
        <v>1761416.3163941058</v>
      </c>
      <c r="H15" s="223">
        <f>IF(OrigApprop=0,0,(H13/$J$13)*OrigApprop)</f>
        <v>265654.20596573316</v>
      </c>
      <c r="I15" s="223">
        <f>IF(G15=0,0,(I13/$J$13)*OrigApprop)</f>
        <v>367229.47764016117</v>
      </c>
      <c r="J15" s="223">
        <f>SUM(G15:I15)</f>
        <v>2394300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4</v>
      </c>
      <c r="G16" s="162">
        <f>G15-G13</f>
        <v>269557.11639410607</v>
      </c>
      <c r="H16" s="162">
        <f>H15-H13</f>
        <v>40654.205965733156</v>
      </c>
      <c r="I16" s="162">
        <f>I15-I13</f>
        <v>56198.706760161207</v>
      </c>
      <c r="J16" s="162">
        <f>J15-J13</f>
        <v>366410.02912000031</v>
      </c>
      <c r="K16" s="269"/>
      <c r="L16" s="56" t="str">
        <f>IF('GVHR|0475-12'!OrigApprop=0,"No Original Appropriation amount in DU 3.00 for this fund","Calculated "&amp;IF('GVHR|0475-12'!AdjustedTotal&gt;0,"overfunding ","underfunding ")&amp;"is "&amp;TEXT('GVHR|0475-12'!AdjustedTotal/'GVHR|0475-12'!AppropTotal,"#.0%;(#.0% );0% ;")&amp;" of Original Appropriation")</f>
        <v>Calculated overfunding is 15.3%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18</v>
      </c>
      <c r="G38" s="191">
        <f>SUMIF($E10:$E35,$E38,$G10:$G35)</f>
        <v>1491859.1999999997</v>
      </c>
      <c r="H38" s="192">
        <f>SUMIF($E10:$E35,$E38,$H10:$H35)</f>
        <v>225000</v>
      </c>
      <c r="I38" s="192">
        <f>SUMIF($E10:$E35,$E38,$I10:$I35)</f>
        <v>311030.77087999997</v>
      </c>
      <c r="J38" s="192">
        <f>SUM(G38:I38)</f>
        <v>2027889.9708799997</v>
      </c>
      <c r="K38" s="166"/>
      <c r="L38" s="191">
        <f>SUMIF($E10:$E35,$E38,$L10:$L35)</f>
        <v>22500</v>
      </c>
      <c r="M38" s="192">
        <f>SUMIF($E10:$E35,$E38,$M10:$M35)</f>
        <v>-12420.403200000017</v>
      </c>
      <c r="N38" s="192">
        <f>SUM(L38:M38)</f>
        <v>10079.596799999983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14900</v>
      </c>
      <c r="AB38" s="338">
        <f>ROUND((AdjPermVB*CECPerm+AdjPermVBBY*CECPerm),-2)</f>
        <v>3000</v>
      </c>
      <c r="AC38" s="338">
        <f>SUM(AA38:AB38)</f>
        <v>17900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18</v>
      </c>
      <c r="G41" s="195">
        <f>SUM($G$38:$G$40)</f>
        <v>1491859.1999999997</v>
      </c>
      <c r="H41" s="162">
        <f>SUM($H$38:$H$40)</f>
        <v>225000</v>
      </c>
      <c r="I41" s="162">
        <f>SUM($I$38:$I$40)</f>
        <v>311030.77087999997</v>
      </c>
      <c r="J41" s="162">
        <f>SUM($J$38:$J$40)</f>
        <v>2027889.9708799997</v>
      </c>
      <c r="K41" s="259"/>
      <c r="L41" s="195">
        <f>SUM($L$38:$L$40)</f>
        <v>22500</v>
      </c>
      <c r="M41" s="162">
        <f>SUM($M$38:$M$40)</f>
        <v>-12420.403200000017</v>
      </c>
      <c r="N41" s="162">
        <f>SUM(L41:M41)</f>
        <v>10079.596799999983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4</v>
      </c>
      <c r="G43" s="206">
        <f>G51-G41</f>
        <v>269557.11639410607</v>
      </c>
      <c r="H43" s="159">
        <f>H51-H41</f>
        <v>40654.205965733156</v>
      </c>
      <c r="I43" s="159">
        <f>I51-I41</f>
        <v>56198.706760161207</v>
      </c>
      <c r="J43" s="159">
        <f>SUM(G43:I43)</f>
        <v>366410.02912000043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15.3%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4</v>
      </c>
      <c r="G44" s="206">
        <f>G60-G41</f>
        <v>269540.80000000028</v>
      </c>
      <c r="H44" s="159">
        <f>H60-H41</f>
        <v>40700</v>
      </c>
      <c r="I44" s="159">
        <f>I60-I41</f>
        <v>56169.229120000033</v>
      </c>
      <c r="J44" s="159">
        <f>SUM(G44:I44)</f>
        <v>366410.02912000031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15.3%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4</v>
      </c>
      <c r="G45" s="206">
        <f>G67-G41-G63</f>
        <v>269540.80000000028</v>
      </c>
      <c r="H45" s="206">
        <f>H67-H41-H63</f>
        <v>40700</v>
      </c>
      <c r="I45" s="206">
        <f>I67-I41-I63</f>
        <v>56169.229120000033</v>
      </c>
      <c r="J45" s="159">
        <f>SUM(G45:I45)</f>
        <v>366410.02912000031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15.3%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2394300</v>
      </c>
      <c r="F51" s="272">
        <f>AppropFTP</f>
        <v>22</v>
      </c>
      <c r="G51" s="274">
        <f>IF(E51=0,0,(G41/$J$41)*$E$51)</f>
        <v>1761416.3163941058</v>
      </c>
      <c r="H51" s="274">
        <f>IF(E51=0,0,(H41/$J$41)*$E$51)</f>
        <v>265654.20596573316</v>
      </c>
      <c r="I51" s="275">
        <f>IF(E51=0,0,(I41/$J$41)*$E$51)</f>
        <v>367229.47764016117</v>
      </c>
      <c r="J51" s="90">
        <f>SUM(G51:I51)</f>
        <v>2394300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22</v>
      </c>
      <c r="G52" s="79">
        <f>ROUND(G51,-2)</f>
        <v>1761400</v>
      </c>
      <c r="H52" s="79">
        <f>ROUND(H51,-2)</f>
        <v>265700</v>
      </c>
      <c r="I52" s="266">
        <f>ROUND(I51,-2)</f>
        <v>367200</v>
      </c>
      <c r="J52" s="80">
        <f>ROUND(J51,-2)</f>
        <v>2394300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22</v>
      </c>
      <c r="G56" s="80">
        <f>SUM(G52:G55)</f>
        <v>1761400</v>
      </c>
      <c r="H56" s="80">
        <f>SUM(H52:H55)</f>
        <v>265700</v>
      </c>
      <c r="I56" s="260">
        <f>SUM(I52:I55)</f>
        <v>367200</v>
      </c>
      <c r="J56" s="80">
        <f>SUM(J52:J55)</f>
        <v>2394300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22</v>
      </c>
      <c r="G60" s="80">
        <f>SUM(G56:G59)</f>
        <v>1761400</v>
      </c>
      <c r="H60" s="80">
        <f>SUM(H56:H59)</f>
        <v>265700</v>
      </c>
      <c r="I60" s="260">
        <f>SUM(I56:I59)</f>
        <v>367200</v>
      </c>
      <c r="J60" s="80">
        <f>SUM(J56:J59)</f>
        <v>2394300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22</v>
      </c>
      <c r="G67" s="80">
        <f>SUM(G60:G64)</f>
        <v>1761400</v>
      </c>
      <c r="H67" s="80">
        <f>SUM(H60:H64)</f>
        <v>265700</v>
      </c>
      <c r="I67" s="80">
        <f>SUM(I60:I64)</f>
        <v>367200</v>
      </c>
      <c r="J67" s="80">
        <f>SUM(J60:J64)</f>
        <v>2394300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22500</v>
      </c>
      <c r="I68" s="113"/>
      <c r="J68" s="287">
        <f>SUM(G68:I68)</f>
        <v>22500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-12400</v>
      </c>
      <c r="J69" s="287">
        <f>SUM(G69:I69)</f>
        <v>-12400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14900</v>
      </c>
      <c r="H72" s="287"/>
      <c r="I72" s="287">
        <f>ROUND(($G72*PermVBBY+$G72*Retire1BY),-2)</f>
        <v>3000</v>
      </c>
      <c r="J72" s="113">
        <f>SUM(G72:I72)</f>
        <v>17900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22</v>
      </c>
      <c r="G75" s="80">
        <f>SUM(G67:G74)</f>
        <v>1776300</v>
      </c>
      <c r="H75" s="80">
        <f>SUM(H67:H74)</f>
        <v>288200</v>
      </c>
      <c r="I75" s="80">
        <f>SUM(I67:I74)</f>
        <v>357800</v>
      </c>
      <c r="J75" s="80">
        <f>SUM(J67:K74)</f>
        <v>2422300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22</v>
      </c>
      <c r="G80" s="80">
        <f>SUM(G75:G79)</f>
        <v>1776300</v>
      </c>
      <c r="H80" s="80">
        <f>SUM(H75:H79)</f>
        <v>288200</v>
      </c>
      <c r="I80" s="80">
        <f>SUM(I75:I79)</f>
        <v>357800</v>
      </c>
      <c r="J80" s="80">
        <f>SUM(J75:J79)</f>
        <v>2422300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AC5F8-0F6A-4362-8785-8DDA341F6D9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6"/>
  <sheetViews>
    <sheetView workbookViewId="0">
      <pane xSplit="3" ySplit="1" topLeftCell="AF21" activePane="bottomRight" state="frozen"/>
      <selection pane="topRight" activeCell="D1" sqref="D1"/>
      <selection pane="bottomLeft" activeCell="A2" sqref="A2"/>
      <selection pane="bottomRight" activeCell="AS37" sqref="AS37:BA46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10.42578125" bestFit="1" customWidth="1"/>
    <col min="87" max="87" width="9.28515625" bestFit="1" customWidth="1"/>
    <col min="88" max="88" width="11.5703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316</v>
      </c>
      <c r="AT1" s="386" t="s">
        <v>317</v>
      </c>
      <c r="AU1" s="386" t="s">
        <v>318</v>
      </c>
      <c r="AV1" s="386" t="s">
        <v>319</v>
      </c>
      <c r="AW1" s="386" t="s">
        <v>320</v>
      </c>
      <c r="AX1" s="386" t="s">
        <v>321</v>
      </c>
      <c r="AY1" s="386" t="s">
        <v>322</v>
      </c>
      <c r="AZ1" s="386" t="s">
        <v>323</v>
      </c>
      <c r="BA1" s="388" t="s">
        <v>324</v>
      </c>
      <c r="BB1" s="389" t="s">
        <v>325</v>
      </c>
      <c r="BC1" s="389" t="s">
        <v>326</v>
      </c>
      <c r="BD1" s="389" t="s">
        <v>327</v>
      </c>
      <c r="BE1" s="389" t="s">
        <v>328</v>
      </c>
      <c r="BF1" s="389" t="s">
        <v>329</v>
      </c>
      <c r="BG1" s="389" t="s">
        <v>330</v>
      </c>
      <c r="BH1" s="389" t="s">
        <v>331</v>
      </c>
      <c r="BI1" s="389" t="s">
        <v>332</v>
      </c>
      <c r="BJ1" s="389" t="s">
        <v>333</v>
      </c>
      <c r="BK1" s="389" t="s">
        <v>334</v>
      </c>
      <c r="BL1" s="390" t="s">
        <v>335</v>
      </c>
      <c r="BM1" s="390" t="s">
        <v>336</v>
      </c>
      <c r="BN1" s="389" t="s">
        <v>337</v>
      </c>
      <c r="BO1" s="389" t="s">
        <v>338</v>
      </c>
      <c r="BP1" s="389" t="s">
        <v>339</v>
      </c>
      <c r="BQ1" s="389" t="s">
        <v>340</v>
      </c>
      <c r="BR1" s="389" t="s">
        <v>341</v>
      </c>
      <c r="BS1" s="389" t="s">
        <v>342</v>
      </c>
      <c r="BT1" s="389" t="s">
        <v>343</v>
      </c>
      <c r="BU1" s="389" t="s">
        <v>344</v>
      </c>
      <c r="BV1" s="389" t="s">
        <v>345</v>
      </c>
      <c r="BW1" s="389" t="s">
        <v>346</v>
      </c>
      <c r="BX1" s="390" t="s">
        <v>347</v>
      </c>
      <c r="BY1" s="390" t="s">
        <v>348</v>
      </c>
      <c r="BZ1" s="389" t="s">
        <v>349</v>
      </c>
      <c r="CA1" s="389" t="s">
        <v>350</v>
      </c>
      <c r="CB1" s="389" t="s">
        <v>351</v>
      </c>
      <c r="CC1" s="389" t="s">
        <v>352</v>
      </c>
      <c r="CD1" s="389" t="s">
        <v>353</v>
      </c>
      <c r="CE1" s="389" t="s">
        <v>354</v>
      </c>
      <c r="CF1" s="389" t="s">
        <v>355</v>
      </c>
      <c r="CG1" s="389" t="s">
        <v>356</v>
      </c>
      <c r="CH1" s="389" t="s">
        <v>357</v>
      </c>
      <c r="CI1" s="389" t="s">
        <v>358</v>
      </c>
      <c r="CJ1" s="390" t="s">
        <v>359</v>
      </c>
      <c r="CK1" s="390" t="s">
        <v>360</v>
      </c>
      <c r="CL1" s="391" t="s">
        <v>361</v>
      </c>
      <c r="CM1" s="391" t="s">
        <v>362</v>
      </c>
      <c r="CN1" s="391" t="s">
        <v>363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0</v>
      </c>
      <c r="U2" s="381">
        <v>0</v>
      </c>
      <c r="V2" s="381">
        <v>0</v>
      </c>
      <c r="W2" s="381">
        <v>0</v>
      </c>
      <c r="X2" s="381">
        <v>0</v>
      </c>
      <c r="Y2" s="381">
        <v>0</v>
      </c>
      <c r="Z2" s="381">
        <v>0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174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IF(AT2=0,"",IF(AND(AT2=1,M2="F",SUMIF(C2:C25,C2,AS2:AS25)&lt;=1),SUMIF(C2:C25,C2,AS2:AS25),IF(AND(AT2=1,M2="F",SUMIF(C2:C25,C2,AS2:AS25)&gt;1),1,"")))</f>
        <v/>
      </c>
      <c r="AV2" s="387" t="str">
        <f>IF(AT2=0,"",IF(AND(AT2=3,M2="F",SUMIF(C2:C25,C2,AS2:AS25)&lt;=1),SUMIF(C2:C25,C2,AS2:AS25),IF(AND(AT2=3,M2="F",SUMIF(C2:C25,C2,AS2:AS25)&gt;1),1,"")))</f>
        <v/>
      </c>
      <c r="AW2" s="387">
        <f>SUMIF(C2:C25,C2,O2:O25)</f>
        <v>0</v>
      </c>
      <c r="AX2" s="387">
        <f>IF(AND(M2="F",AS2&lt;&gt;0),SUMIF(C2:C25,C2,W2:W25),0)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25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2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5" si="2">IF(AND(AT2&lt;&gt;0,AX2&gt;=MAXSSDI),SSDI*MAXSSDI*P2,IF(AT2&lt;&gt;0,SSDI*W2,0))</f>
        <v>0</v>
      </c>
      <c r="BE2" s="387">
        <f t="shared" ref="BE2:BE25" si="3">IF(AT2&lt;&gt;0,SSHI*W2,0)</f>
        <v>0</v>
      </c>
      <c r="BF2" s="387">
        <f t="shared" ref="BF2:BF25" si="4">IF(AND(AT2&lt;&gt;0,AN2&lt;&gt;"NE"),VLOOKUP(AN2,Retirement_Rates,3,FALSE)*W2,0)</f>
        <v>0</v>
      </c>
      <c r="BG2" s="387">
        <f t="shared" ref="BG2:BG25" si="5">IF(AND(AT2&lt;&gt;0,AJ2&lt;&gt;"PF"),Life*W2,0)</f>
        <v>0</v>
      </c>
      <c r="BH2" s="387">
        <f t="shared" ref="BH2:BH25" si="6">IF(AND(AT2&lt;&gt;0,AM2="Y"),UI*W2,0)</f>
        <v>0</v>
      </c>
      <c r="BI2" s="387">
        <f t="shared" ref="BI2:BI25" si="7">IF(AND(AT2&lt;&gt;0,N2&lt;&gt;"NR"),DHR*W2,0)</f>
        <v>0</v>
      </c>
      <c r="BJ2" s="387">
        <f t="shared" ref="BJ2:BJ25" si="8">IF(AT2&lt;&gt;0,WC*W2,0)</f>
        <v>0</v>
      </c>
      <c r="BK2" s="387">
        <f t="shared" ref="BK2:BK25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25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2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5" si="12">IF(AND(AT2&lt;&gt;0,(AX2+BA2)&gt;=MAXSSDIBY),SSDIBY*MAXSSDIBY*P2,IF(AT2&lt;&gt;0,SSDIBY*W2,0))</f>
        <v>0</v>
      </c>
      <c r="BQ2" s="387">
        <f t="shared" ref="BQ2:BQ25" si="13">IF(AT2&lt;&gt;0,SSHIBY*W2,0)</f>
        <v>0</v>
      </c>
      <c r="BR2" s="387">
        <f t="shared" ref="BR2:BR25" si="14">IF(AND(AT2&lt;&gt;0,AN2&lt;&gt;"NE"),VLOOKUP(AN2,Retirement_Rates,4,FALSE)*W2,0)</f>
        <v>0</v>
      </c>
      <c r="BS2" s="387">
        <f t="shared" ref="BS2:BS25" si="15">IF(AND(AT2&lt;&gt;0,AJ2&lt;&gt;"PF"),LifeBY*W2,0)</f>
        <v>0</v>
      </c>
      <c r="BT2" s="387">
        <f t="shared" ref="BT2:BT25" si="16">IF(AND(AT2&lt;&gt;0,AM2="Y"),UIBY*W2,0)</f>
        <v>0</v>
      </c>
      <c r="BU2" s="387">
        <f t="shared" ref="BU2:BU25" si="17">IF(AND(AT2&lt;&gt;0,N2&lt;&gt;"NR"),DHRBY*W2,0)</f>
        <v>0</v>
      </c>
      <c r="BV2" s="387">
        <f t="shared" ref="BV2:BV25" si="18">IF(AT2&lt;&gt;0,WCBY*W2,0)</f>
        <v>0</v>
      </c>
      <c r="BW2" s="387">
        <f t="shared" ref="BW2:BW25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25" si="20">IF(AT2&lt;&gt;0,SSHICHG*Y2,0)</f>
        <v>0</v>
      </c>
      <c r="CD2" s="387">
        <f t="shared" ref="CD2:CD25" si="21">IF(AND(AT2&lt;&gt;0,AN2&lt;&gt;"NE"),VLOOKUP(AN2,Retirement_Rates,5,FALSE)*Y2,0)</f>
        <v>0</v>
      </c>
      <c r="CE2" s="387">
        <f t="shared" ref="CE2:CE25" si="22">IF(AND(AT2&lt;&gt;0,AJ2&lt;&gt;"PF"),LifeCHG*Y2,0)</f>
        <v>0</v>
      </c>
      <c r="CF2" s="387">
        <f t="shared" ref="CF2:CF25" si="23">IF(AND(AT2&lt;&gt;0,AM2="Y"),UICHG*Y2,0)</f>
        <v>0</v>
      </c>
      <c r="CG2" s="387">
        <f t="shared" ref="CG2:CG25" si="24">IF(AND(AT2&lt;&gt;0,N2&lt;&gt;"NR"),DHRCHG*Y2,0)</f>
        <v>0</v>
      </c>
      <c r="CH2" s="387">
        <f t="shared" ref="CH2:CH25" si="25">IF(AT2&lt;&gt;0,WCCHG*Y2,0)</f>
        <v>0</v>
      </c>
      <c r="CI2" s="387">
        <f t="shared" ref="CI2:CI25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0</v>
      </c>
      <c r="CM2" s="387">
        <f>IF(OR(N2="NG",AG2="D"),V2,"")</f>
        <v>0</v>
      </c>
      <c r="CN2" s="387" t="str">
        <f>E2 &amp; "-" &amp; F2</f>
        <v>0475-12</v>
      </c>
    </row>
    <row r="3" spans="1:92" ht="15.75" thickBot="1" x14ac:dyDescent="0.3">
      <c r="A3" s="377" t="s">
        <v>162</v>
      </c>
      <c r="B3" s="377" t="s">
        <v>163</v>
      </c>
      <c r="C3" s="377" t="s">
        <v>175</v>
      </c>
      <c r="D3" s="377" t="s">
        <v>176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177</v>
      </c>
      <c r="L3" s="377" t="s">
        <v>171</v>
      </c>
      <c r="M3" s="377" t="s">
        <v>178</v>
      </c>
      <c r="N3" s="377" t="s">
        <v>173</v>
      </c>
      <c r="O3" s="380">
        <v>0</v>
      </c>
      <c r="P3" s="385">
        <v>1</v>
      </c>
      <c r="Q3" s="385">
        <v>0</v>
      </c>
      <c r="R3" s="381">
        <v>0</v>
      </c>
      <c r="S3" s="385">
        <v>0</v>
      </c>
      <c r="T3" s="381">
        <v>0</v>
      </c>
      <c r="U3" s="381">
        <v>0</v>
      </c>
      <c r="V3" s="381">
        <v>0</v>
      </c>
      <c r="W3" s="381">
        <v>0</v>
      </c>
      <c r="X3" s="381">
        <v>0</v>
      </c>
      <c r="Y3" s="381">
        <v>0</v>
      </c>
      <c r="Z3" s="381">
        <v>0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174</v>
      </c>
      <c r="AM3" s="379"/>
      <c r="AN3" s="379"/>
      <c r="AO3" s="380">
        <v>0</v>
      </c>
      <c r="AP3" s="385">
        <v>0</v>
      </c>
      <c r="AQ3" s="385">
        <v>0</v>
      </c>
      <c r="AR3" s="383"/>
      <c r="AS3" s="387">
        <f t="shared" ref="AS3:AS25" si="27">IF(((AO3/80)*AP3*P3)&gt;1,AQ3,((AO3/80)*AP3*P3))</f>
        <v>0</v>
      </c>
      <c r="AT3">
        <f t="shared" ref="AT3:AT25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IF(AT3=0,"",IF(AND(AT3=1,M3="F",SUMIF(C2:C25,C3,AS2:AS25)&lt;=1),SUMIF(C2:C25,C3,AS2:AS25),IF(AND(AT3=1,M3="F",SUMIF(C2:C25,C3,AS2:AS25)&gt;1),1,"")))</f>
        <v/>
      </c>
      <c r="AV3" s="387" t="str">
        <f>IF(AT3=0,"",IF(AND(AT3=3,M3="F",SUMIF(C2:C25,C3,AS2:AS25)&lt;=1),SUMIF(C2:C25,C3,AS2:AS25),IF(AND(AT3=3,M3="F",SUMIF(C2:C25,C3,AS2:AS25)&gt;1),1,"")))</f>
        <v/>
      </c>
      <c r="AW3" s="387">
        <f>SUMIF(C2:C25,C3,O2:O25)</f>
        <v>0</v>
      </c>
      <c r="AX3" s="387">
        <f>IF(AND(M3="F",AS3&lt;&gt;0),SUMIF(C2:C25,C3,W2:W25),0)</f>
        <v>0</v>
      </c>
      <c r="AY3" s="387" t="str">
        <f t="shared" ref="AY3:AY25" si="29">IF(AT3=1,W3,"")</f>
        <v/>
      </c>
      <c r="AZ3" s="387" t="str">
        <f t="shared" ref="AZ3:AZ25" si="30">IF(AT3=3,W3,"")</f>
        <v/>
      </c>
      <c r="BA3" s="387">
        <f t="shared" ref="BA3:BA25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25" si="32">IF(AT3=1,SUM(BD3:BK3),0)</f>
        <v>0</v>
      </c>
      <c r="BM3" s="387">
        <f t="shared" ref="BM3:BM25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25" si="34">IF(AT3=1,SUM(BP3:BW3),0)</f>
        <v>0</v>
      </c>
      <c r="BY3" s="387">
        <f t="shared" ref="BY3:BY25" si="35">IF(AT3=3,SUM(BP3:BW3),0)</f>
        <v>0</v>
      </c>
      <c r="BZ3" s="387">
        <f t="shared" ref="BZ3:BZ25" si="36">IF(AT3=1,BN3-BB3,0)</f>
        <v>0</v>
      </c>
      <c r="CA3" s="387">
        <f t="shared" ref="CA3:CA25" si="37">IF(AT3=3,BO3-BC3,0)</f>
        <v>0</v>
      </c>
      <c r="CB3" s="387">
        <f t="shared" ref="CB3:CB25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25" si="39">IF(AT3=1,SUM(CB3:CI3),0)</f>
        <v>0</v>
      </c>
      <c r="CK3" s="387" t="str">
        <f t="shared" ref="CK3:CK25" si="40">IF(AT3=3,SUM(CB3:CI3),"")</f>
        <v/>
      </c>
      <c r="CL3" s="387">
        <f t="shared" ref="CL3:CL25" si="41">IF(OR(N3="NG",AG3="D"),(T3+U3),"")</f>
        <v>0</v>
      </c>
      <c r="CM3" s="387">
        <f t="shared" ref="CM3:CM25" si="42">IF(OR(N3="NG",AG3="D"),V3,"")</f>
        <v>0</v>
      </c>
      <c r="CN3" s="387" t="str">
        <f t="shared" ref="CN3:CN25" si="43">E3 &amp; "-" &amp; F3</f>
        <v>0475-12</v>
      </c>
    </row>
    <row r="4" spans="1:92" ht="15.75" thickBot="1" x14ac:dyDescent="0.3">
      <c r="A4" s="377" t="s">
        <v>162</v>
      </c>
      <c r="B4" s="377" t="s">
        <v>163</v>
      </c>
      <c r="C4" s="377" t="s">
        <v>179</v>
      </c>
      <c r="D4" s="377" t="s">
        <v>180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181</v>
      </c>
      <c r="L4" s="377" t="s">
        <v>182</v>
      </c>
      <c r="M4" s="377" t="s">
        <v>172</v>
      </c>
      <c r="N4" s="377" t="s">
        <v>183</v>
      </c>
      <c r="O4" s="380">
        <v>0</v>
      </c>
      <c r="P4" s="385">
        <v>1</v>
      </c>
      <c r="Q4" s="385">
        <v>1</v>
      </c>
      <c r="R4" s="381">
        <v>80</v>
      </c>
      <c r="S4" s="385">
        <v>1</v>
      </c>
      <c r="T4" s="381">
        <v>64677.26</v>
      </c>
      <c r="U4" s="381">
        <v>0</v>
      </c>
      <c r="V4" s="381">
        <v>24446.59</v>
      </c>
      <c r="W4" s="381">
        <v>62275.199999999997</v>
      </c>
      <c r="X4" s="381">
        <v>28023.84</v>
      </c>
      <c r="Y4" s="381">
        <v>62275.199999999997</v>
      </c>
      <c r="Z4" s="381">
        <v>29020.240000000002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174</v>
      </c>
      <c r="AM4" s="379"/>
      <c r="AN4" s="379"/>
      <c r="AO4" s="380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IF(AT4=0,"",IF(AND(AT4=1,M4="F",SUMIF(C2:C25,C4,AS2:AS25)&lt;=1),SUMIF(C2:C25,C4,AS2:AS25),IF(AND(AT4=1,M4="F",SUMIF(C2:C25,C4,AS2:AS25)&gt;1),1,"")))</f>
        <v/>
      </c>
      <c r="AV4" s="387" t="str">
        <f>IF(AT4=0,"",IF(AND(AT4=3,M4="F",SUMIF(C2:C25,C4,AS2:AS25)&lt;=1),SUMIF(C2:C25,C4,AS2:AS25),IF(AND(AT4=3,M4="F",SUMIF(C2:C25,C4,AS2:AS25)&gt;1),1,"")))</f>
        <v/>
      </c>
      <c r="AW4" s="387">
        <f>SUMIF(C2:C25,C4,O2:O25)</f>
        <v>0</v>
      </c>
      <c r="AX4" s="387">
        <f>IF(AND(M4="F",AS4&lt;&gt;0),SUMIF(C2:C25,C4,W2:W25),0)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0475-12</v>
      </c>
    </row>
    <row r="5" spans="1:92" ht="15.75" thickBot="1" x14ac:dyDescent="0.3">
      <c r="A5" s="377" t="s">
        <v>162</v>
      </c>
      <c r="B5" s="377" t="s">
        <v>163</v>
      </c>
      <c r="C5" s="377" t="s">
        <v>184</v>
      </c>
      <c r="D5" s="377" t="s">
        <v>185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186</v>
      </c>
      <c r="L5" s="377" t="s">
        <v>187</v>
      </c>
      <c r="M5" s="377" t="s">
        <v>172</v>
      </c>
      <c r="N5" s="377" t="s">
        <v>183</v>
      </c>
      <c r="O5" s="380">
        <v>0</v>
      </c>
      <c r="P5" s="385">
        <v>1</v>
      </c>
      <c r="Q5" s="385">
        <v>1</v>
      </c>
      <c r="R5" s="381">
        <v>80</v>
      </c>
      <c r="S5" s="385">
        <v>1</v>
      </c>
      <c r="T5" s="381">
        <v>43816.9</v>
      </c>
      <c r="U5" s="381">
        <v>0</v>
      </c>
      <c r="V5" s="381">
        <v>18565.39</v>
      </c>
      <c r="W5" s="381">
        <v>43596.800000000003</v>
      </c>
      <c r="X5" s="381">
        <v>19618.560000000001</v>
      </c>
      <c r="Y5" s="381">
        <v>43596.800000000003</v>
      </c>
      <c r="Z5" s="381">
        <v>20316.099999999999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174</v>
      </c>
      <c r="AM5" s="379"/>
      <c r="AN5" s="379"/>
      <c r="AO5" s="380">
        <v>0</v>
      </c>
      <c r="AP5" s="385">
        <v>0</v>
      </c>
      <c r="AQ5" s="385">
        <v>0</v>
      </c>
      <c r="AR5" s="383"/>
      <c r="AS5" s="387">
        <f t="shared" si="27"/>
        <v>0</v>
      </c>
      <c r="AT5">
        <f t="shared" si="28"/>
        <v>0</v>
      </c>
      <c r="AU5" s="387" t="str">
        <f>IF(AT5=0,"",IF(AND(AT5=1,M5="F",SUMIF(C2:C25,C5,AS2:AS25)&lt;=1),SUMIF(C2:C25,C5,AS2:AS25),IF(AND(AT5=1,M5="F",SUMIF(C2:C25,C5,AS2:AS25)&gt;1),1,"")))</f>
        <v/>
      </c>
      <c r="AV5" s="387" t="str">
        <f>IF(AT5=0,"",IF(AND(AT5=3,M5="F",SUMIF(C2:C25,C5,AS2:AS25)&lt;=1),SUMIF(C2:C25,C5,AS2:AS25),IF(AND(AT5=3,M5="F",SUMIF(C2:C25,C5,AS2:AS25)&gt;1),1,"")))</f>
        <v/>
      </c>
      <c r="AW5" s="387">
        <f>SUMIF(C2:C25,C5,O2:O25)</f>
        <v>0</v>
      </c>
      <c r="AX5" s="387">
        <f>IF(AND(M5="F",AS5&lt;&gt;0),SUMIF(C2:C25,C5,W2:W25),0)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0475-12</v>
      </c>
    </row>
    <row r="6" spans="1:92" ht="15.75" thickBot="1" x14ac:dyDescent="0.3">
      <c r="A6" s="377" t="s">
        <v>162</v>
      </c>
      <c r="B6" s="377" t="s">
        <v>163</v>
      </c>
      <c r="C6" s="377" t="s">
        <v>188</v>
      </c>
      <c r="D6" s="377" t="s">
        <v>180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181</v>
      </c>
      <c r="L6" s="377" t="s">
        <v>182</v>
      </c>
      <c r="M6" s="377" t="s">
        <v>172</v>
      </c>
      <c r="N6" s="377" t="s">
        <v>183</v>
      </c>
      <c r="O6" s="380">
        <v>0</v>
      </c>
      <c r="P6" s="385">
        <v>1</v>
      </c>
      <c r="Q6" s="385">
        <v>1</v>
      </c>
      <c r="R6" s="381">
        <v>80</v>
      </c>
      <c r="S6" s="385">
        <v>1</v>
      </c>
      <c r="T6" s="381">
        <v>52865.01</v>
      </c>
      <c r="U6" s="381">
        <v>0</v>
      </c>
      <c r="V6" s="381">
        <v>19169.259999999998</v>
      </c>
      <c r="W6" s="381">
        <v>62275.199999999997</v>
      </c>
      <c r="X6" s="381">
        <v>28023.84</v>
      </c>
      <c r="Y6" s="381">
        <v>62275.199999999997</v>
      </c>
      <c r="Z6" s="381">
        <v>29020.240000000002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174</v>
      </c>
      <c r="AM6" s="379"/>
      <c r="AN6" s="379"/>
      <c r="AO6" s="380">
        <v>0</v>
      </c>
      <c r="AP6" s="385">
        <v>0</v>
      </c>
      <c r="AQ6" s="385">
        <v>0</v>
      </c>
      <c r="AR6" s="383"/>
      <c r="AS6" s="387">
        <f t="shared" si="27"/>
        <v>0</v>
      </c>
      <c r="AT6">
        <f t="shared" si="28"/>
        <v>0</v>
      </c>
      <c r="AU6" s="387" t="str">
        <f>IF(AT6=0,"",IF(AND(AT6=1,M6="F",SUMIF(C2:C25,C6,AS2:AS25)&lt;=1),SUMIF(C2:C25,C6,AS2:AS25),IF(AND(AT6=1,M6="F",SUMIF(C2:C25,C6,AS2:AS25)&gt;1),1,"")))</f>
        <v/>
      </c>
      <c r="AV6" s="387" t="str">
        <f>IF(AT6=0,"",IF(AND(AT6=3,M6="F",SUMIF(C2:C25,C6,AS2:AS25)&lt;=1),SUMIF(C2:C25,C6,AS2:AS25),IF(AND(AT6=3,M6="F",SUMIF(C2:C25,C6,AS2:AS25)&gt;1),1,"")))</f>
        <v/>
      </c>
      <c r="AW6" s="387">
        <f>SUMIF(C2:C25,C6,O2:O25)</f>
        <v>0</v>
      </c>
      <c r="AX6" s="387">
        <f>IF(AND(M6="F",AS6&lt;&gt;0),SUMIF(C2:C25,C6,W2:W25),0)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0475-12</v>
      </c>
    </row>
    <row r="7" spans="1:92" ht="15.75" thickBot="1" x14ac:dyDescent="0.3">
      <c r="A7" s="377" t="s">
        <v>162</v>
      </c>
      <c r="B7" s="377" t="s">
        <v>163</v>
      </c>
      <c r="C7" s="377" t="s">
        <v>189</v>
      </c>
      <c r="D7" s="377" t="s">
        <v>190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191</v>
      </c>
      <c r="L7" s="377" t="s">
        <v>174</v>
      </c>
      <c r="M7" s="377" t="s">
        <v>178</v>
      </c>
      <c r="N7" s="377" t="s">
        <v>183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0</v>
      </c>
      <c r="U7" s="381">
        <v>0</v>
      </c>
      <c r="V7" s="381">
        <v>0</v>
      </c>
      <c r="W7" s="381">
        <v>76440</v>
      </c>
      <c r="X7" s="381">
        <v>28511.87</v>
      </c>
      <c r="Y7" s="381">
        <v>76440</v>
      </c>
      <c r="Z7" s="381">
        <v>29112.13</v>
      </c>
      <c r="AA7" s="377" t="s">
        <v>192</v>
      </c>
      <c r="AB7" s="377" t="s">
        <v>193</v>
      </c>
      <c r="AC7" s="377" t="s">
        <v>194</v>
      </c>
      <c r="AD7" s="377" t="s">
        <v>195</v>
      </c>
      <c r="AE7" s="377" t="s">
        <v>191</v>
      </c>
      <c r="AF7" s="377" t="s">
        <v>196</v>
      </c>
      <c r="AG7" s="377" t="s">
        <v>197</v>
      </c>
      <c r="AH7" s="382">
        <v>36.75</v>
      </c>
      <c r="AI7" s="382">
        <v>10372.799999999999</v>
      </c>
      <c r="AJ7" s="377" t="s">
        <v>198</v>
      </c>
      <c r="AK7" s="377" t="s">
        <v>199</v>
      </c>
      <c r="AL7" s="377" t="s">
        <v>174</v>
      </c>
      <c r="AM7" s="377" t="s">
        <v>200</v>
      </c>
      <c r="AN7" s="377" t="s">
        <v>66</v>
      </c>
      <c r="AO7" s="380">
        <v>80</v>
      </c>
      <c r="AP7" s="385">
        <v>1</v>
      </c>
      <c r="AQ7" s="385">
        <v>1</v>
      </c>
      <c r="AR7" s="384" t="s">
        <v>201</v>
      </c>
      <c r="AS7" s="387">
        <f t="shared" si="27"/>
        <v>1</v>
      </c>
      <c r="AT7">
        <f t="shared" si="28"/>
        <v>1</v>
      </c>
      <c r="AU7" s="387">
        <f>IF(AT7=0,"",IF(AND(AT7=1,M7="F",SUMIF(C2:C25,C7,AS2:AS25)&lt;=1),SUMIF(C2:C25,C7,AS2:AS25),IF(AND(AT7=1,M7="F",SUMIF(C2:C25,C7,AS2:AS25)&gt;1),1,"")))</f>
        <v>1</v>
      </c>
      <c r="AV7" s="387" t="str">
        <f>IF(AT7=0,"",IF(AND(AT7=3,M7="F",SUMIF(C2:C25,C7,AS2:AS25)&lt;=1),SUMIF(C2:C25,C7,AS2:AS25),IF(AND(AT7=3,M7="F",SUMIF(C2:C25,C7,AS2:AS25)&gt;1),1,"")))</f>
        <v/>
      </c>
      <c r="AW7" s="387">
        <f>SUMIF(C2:C25,C7,O2:O25)</f>
        <v>1</v>
      </c>
      <c r="AX7" s="387">
        <f>IF(AND(M7="F",AS7&lt;&gt;0),SUMIF(C2:C25,C7,W2:W25),0)</f>
        <v>76440</v>
      </c>
      <c r="AY7" s="387">
        <f t="shared" si="29"/>
        <v>76440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4739.28</v>
      </c>
      <c r="BE7" s="387">
        <f t="shared" si="3"/>
        <v>1108.3800000000001</v>
      </c>
      <c r="BF7" s="387">
        <f t="shared" si="4"/>
        <v>9126.9359999999997</v>
      </c>
      <c r="BG7" s="387">
        <f t="shared" si="5"/>
        <v>551.13240000000008</v>
      </c>
      <c r="BH7" s="387">
        <f t="shared" si="6"/>
        <v>0</v>
      </c>
      <c r="BI7" s="387">
        <f t="shared" si="7"/>
        <v>233.90639999999999</v>
      </c>
      <c r="BJ7" s="387">
        <f t="shared" si="8"/>
        <v>252.25200000000001</v>
      </c>
      <c r="BK7" s="387">
        <f t="shared" si="9"/>
        <v>0</v>
      </c>
      <c r="BL7" s="387">
        <f t="shared" si="32"/>
        <v>16011.8868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4739.28</v>
      </c>
      <c r="BQ7" s="387">
        <f t="shared" si="13"/>
        <v>1108.3800000000001</v>
      </c>
      <c r="BR7" s="387">
        <f t="shared" si="14"/>
        <v>8545.9920000000002</v>
      </c>
      <c r="BS7" s="387">
        <f t="shared" si="15"/>
        <v>551.13240000000008</v>
      </c>
      <c r="BT7" s="387">
        <f t="shared" si="16"/>
        <v>0</v>
      </c>
      <c r="BU7" s="387">
        <f t="shared" si="17"/>
        <v>233.90639999999999</v>
      </c>
      <c r="BV7" s="387">
        <f t="shared" si="18"/>
        <v>183.45599999999999</v>
      </c>
      <c r="BW7" s="387">
        <f t="shared" si="19"/>
        <v>0</v>
      </c>
      <c r="BX7" s="387">
        <f t="shared" si="34"/>
        <v>15362.1468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-580.94400000000076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-68.796000000000021</v>
      </c>
      <c r="CI7" s="387">
        <f t="shared" si="26"/>
        <v>0</v>
      </c>
      <c r="CJ7" s="387">
        <f t="shared" si="39"/>
        <v>-649.7400000000008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0475-12</v>
      </c>
    </row>
    <row r="8" spans="1:92" ht="15.75" thickBot="1" x14ac:dyDescent="0.3">
      <c r="A8" s="377" t="s">
        <v>162</v>
      </c>
      <c r="B8" s="377" t="s">
        <v>163</v>
      </c>
      <c r="C8" s="377" t="s">
        <v>202</v>
      </c>
      <c r="D8" s="377" t="s">
        <v>203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204</v>
      </c>
      <c r="L8" s="377" t="s">
        <v>205</v>
      </c>
      <c r="M8" s="377" t="s">
        <v>172</v>
      </c>
      <c r="N8" s="377" t="s">
        <v>183</v>
      </c>
      <c r="O8" s="380">
        <v>0</v>
      </c>
      <c r="P8" s="385">
        <v>1</v>
      </c>
      <c r="Q8" s="385">
        <v>1</v>
      </c>
      <c r="R8" s="381">
        <v>80</v>
      </c>
      <c r="S8" s="385">
        <v>1</v>
      </c>
      <c r="T8" s="381">
        <v>57514.48</v>
      </c>
      <c r="U8" s="381">
        <v>0</v>
      </c>
      <c r="V8" s="381">
        <v>23671.62</v>
      </c>
      <c r="W8" s="381">
        <v>55078.400000000001</v>
      </c>
      <c r="X8" s="381">
        <v>24785.279999999999</v>
      </c>
      <c r="Y8" s="381">
        <v>55078.400000000001</v>
      </c>
      <c r="Z8" s="381">
        <v>25666.53</v>
      </c>
      <c r="AA8" s="379"/>
      <c r="AB8" s="377" t="s">
        <v>45</v>
      </c>
      <c r="AC8" s="377" t="s">
        <v>45</v>
      </c>
      <c r="AD8" s="379"/>
      <c r="AE8" s="379"/>
      <c r="AF8" s="379"/>
      <c r="AG8" s="379"/>
      <c r="AH8" s="380">
        <v>0</v>
      </c>
      <c r="AI8" s="380">
        <v>0</v>
      </c>
      <c r="AJ8" s="379"/>
      <c r="AK8" s="379"/>
      <c r="AL8" s="377" t="s">
        <v>174</v>
      </c>
      <c r="AM8" s="379"/>
      <c r="AN8" s="379"/>
      <c r="AO8" s="380">
        <v>0</v>
      </c>
      <c r="AP8" s="385">
        <v>0</v>
      </c>
      <c r="AQ8" s="385">
        <v>0</v>
      </c>
      <c r="AR8" s="383"/>
      <c r="AS8" s="387">
        <f t="shared" si="27"/>
        <v>0</v>
      </c>
      <c r="AT8">
        <f t="shared" si="28"/>
        <v>0</v>
      </c>
      <c r="AU8" s="387" t="str">
        <f>IF(AT8=0,"",IF(AND(AT8=1,M8="F",SUMIF(C2:C25,C8,AS2:AS25)&lt;=1),SUMIF(C2:C25,C8,AS2:AS25),IF(AND(AT8=1,M8="F",SUMIF(C2:C25,C8,AS2:AS25)&gt;1),1,"")))</f>
        <v/>
      </c>
      <c r="AV8" s="387" t="str">
        <f>IF(AT8=0,"",IF(AND(AT8=3,M8="F",SUMIF(C2:C25,C8,AS2:AS25)&lt;=1),SUMIF(C2:C25,C8,AS2:AS25),IF(AND(AT8=3,M8="F",SUMIF(C2:C25,C8,AS2:AS25)&gt;1),1,"")))</f>
        <v/>
      </c>
      <c r="AW8" s="387">
        <f>SUMIF(C2:C25,C8,O2:O25)</f>
        <v>0</v>
      </c>
      <c r="AX8" s="387">
        <f>IF(AND(M8="F",AS8&lt;&gt;0),SUMIF(C2:C25,C8,W2:W25),0)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0475-12</v>
      </c>
    </row>
    <row r="9" spans="1:92" ht="15.75" thickBot="1" x14ac:dyDescent="0.3">
      <c r="A9" s="377" t="s">
        <v>162</v>
      </c>
      <c r="B9" s="377" t="s">
        <v>163</v>
      </c>
      <c r="C9" s="377" t="s">
        <v>206</v>
      </c>
      <c r="D9" s="377" t="s">
        <v>207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208</v>
      </c>
      <c r="L9" s="377" t="s">
        <v>174</v>
      </c>
      <c r="M9" s="377" t="s">
        <v>178</v>
      </c>
      <c r="N9" s="377" t="s">
        <v>183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5960</v>
      </c>
      <c r="U9" s="381">
        <v>0</v>
      </c>
      <c r="V9" s="381">
        <v>2307.7600000000002</v>
      </c>
      <c r="W9" s="381">
        <v>77480</v>
      </c>
      <c r="X9" s="381">
        <v>28729.72</v>
      </c>
      <c r="Y9" s="381">
        <v>77480</v>
      </c>
      <c r="Z9" s="381">
        <v>29321.14</v>
      </c>
      <c r="AA9" s="377" t="s">
        <v>209</v>
      </c>
      <c r="AB9" s="377" t="s">
        <v>210</v>
      </c>
      <c r="AC9" s="377" t="s">
        <v>211</v>
      </c>
      <c r="AD9" s="377" t="s">
        <v>212</v>
      </c>
      <c r="AE9" s="377" t="s">
        <v>208</v>
      </c>
      <c r="AF9" s="377" t="s">
        <v>196</v>
      </c>
      <c r="AG9" s="377" t="s">
        <v>197</v>
      </c>
      <c r="AH9" s="382">
        <v>37.25</v>
      </c>
      <c r="AI9" s="382">
        <v>3955.7</v>
      </c>
      <c r="AJ9" s="377" t="s">
        <v>198</v>
      </c>
      <c r="AK9" s="377" t="s">
        <v>199</v>
      </c>
      <c r="AL9" s="377" t="s">
        <v>174</v>
      </c>
      <c r="AM9" s="377" t="s">
        <v>200</v>
      </c>
      <c r="AN9" s="377" t="s">
        <v>66</v>
      </c>
      <c r="AO9" s="380">
        <v>80</v>
      </c>
      <c r="AP9" s="385">
        <v>1</v>
      </c>
      <c r="AQ9" s="385">
        <v>1</v>
      </c>
      <c r="AR9" s="384" t="s">
        <v>201</v>
      </c>
      <c r="AS9" s="387">
        <f t="shared" si="27"/>
        <v>1</v>
      </c>
      <c r="AT9">
        <f t="shared" si="28"/>
        <v>1</v>
      </c>
      <c r="AU9" s="387">
        <f>IF(AT9=0,"",IF(AND(AT9=1,M9="F",SUMIF(C2:C25,C9,AS2:AS25)&lt;=1),SUMIF(C2:C25,C9,AS2:AS25),IF(AND(AT9=1,M9="F",SUMIF(C2:C25,C9,AS2:AS25)&gt;1),1,"")))</f>
        <v>1</v>
      </c>
      <c r="AV9" s="387" t="str">
        <f>IF(AT9=0,"",IF(AND(AT9=3,M9="F",SUMIF(C2:C25,C9,AS2:AS25)&lt;=1),SUMIF(C2:C25,C9,AS2:AS25),IF(AND(AT9=3,M9="F",SUMIF(C2:C25,C9,AS2:AS25)&gt;1),1,"")))</f>
        <v/>
      </c>
      <c r="AW9" s="387">
        <f>SUMIF(C2:C25,C9,O2:O25)</f>
        <v>1</v>
      </c>
      <c r="AX9" s="387">
        <f>IF(AND(M9="F",AS9&lt;&gt;0),SUMIF(C2:C25,C9,W2:W25),0)</f>
        <v>77480</v>
      </c>
      <c r="AY9" s="387">
        <f t="shared" si="29"/>
        <v>77480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4803.76</v>
      </c>
      <c r="BE9" s="387">
        <f t="shared" si="3"/>
        <v>1123.46</v>
      </c>
      <c r="BF9" s="387">
        <f t="shared" si="4"/>
        <v>9251.112000000001</v>
      </c>
      <c r="BG9" s="387">
        <f t="shared" si="5"/>
        <v>558.63080000000002</v>
      </c>
      <c r="BH9" s="387">
        <f t="shared" si="6"/>
        <v>0</v>
      </c>
      <c r="BI9" s="387">
        <f t="shared" si="7"/>
        <v>237.08879999999999</v>
      </c>
      <c r="BJ9" s="387">
        <f t="shared" si="8"/>
        <v>255.684</v>
      </c>
      <c r="BK9" s="387">
        <f t="shared" si="9"/>
        <v>0</v>
      </c>
      <c r="BL9" s="387">
        <f t="shared" si="32"/>
        <v>16229.735600000002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4803.76</v>
      </c>
      <c r="BQ9" s="387">
        <f t="shared" si="13"/>
        <v>1123.46</v>
      </c>
      <c r="BR9" s="387">
        <f t="shared" si="14"/>
        <v>8662.2639999999992</v>
      </c>
      <c r="BS9" s="387">
        <f t="shared" si="15"/>
        <v>558.63080000000002</v>
      </c>
      <c r="BT9" s="387">
        <f t="shared" si="16"/>
        <v>0</v>
      </c>
      <c r="BU9" s="387">
        <f t="shared" si="17"/>
        <v>237.08879999999999</v>
      </c>
      <c r="BV9" s="387">
        <f t="shared" si="18"/>
        <v>185.95199999999997</v>
      </c>
      <c r="BW9" s="387">
        <f t="shared" si="19"/>
        <v>0</v>
      </c>
      <c r="BX9" s="387">
        <f t="shared" si="34"/>
        <v>15571.1556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-588.84800000000075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-69.732000000000014</v>
      </c>
      <c r="CI9" s="387">
        <f t="shared" si="26"/>
        <v>0</v>
      </c>
      <c r="CJ9" s="387">
        <f t="shared" si="39"/>
        <v>-658.58000000000072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0475-12</v>
      </c>
    </row>
    <row r="10" spans="1:92" ht="15.75" thickBot="1" x14ac:dyDescent="0.3">
      <c r="A10" s="377" t="s">
        <v>162</v>
      </c>
      <c r="B10" s="377" t="s">
        <v>163</v>
      </c>
      <c r="C10" s="377" t="s">
        <v>213</v>
      </c>
      <c r="D10" s="377" t="s">
        <v>207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208</v>
      </c>
      <c r="L10" s="377" t="s">
        <v>174</v>
      </c>
      <c r="M10" s="377" t="s">
        <v>178</v>
      </c>
      <c r="N10" s="377" t="s">
        <v>183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4410</v>
      </c>
      <c r="U10" s="381">
        <v>0</v>
      </c>
      <c r="V10" s="381">
        <v>1996.79</v>
      </c>
      <c r="W10" s="381">
        <v>76440</v>
      </c>
      <c r="X10" s="381">
        <v>28511.87</v>
      </c>
      <c r="Y10" s="381">
        <v>76440</v>
      </c>
      <c r="Z10" s="381">
        <v>29112.13</v>
      </c>
      <c r="AA10" s="377" t="s">
        <v>214</v>
      </c>
      <c r="AB10" s="377" t="s">
        <v>215</v>
      </c>
      <c r="AC10" s="377" t="s">
        <v>216</v>
      </c>
      <c r="AD10" s="377" t="s">
        <v>217</v>
      </c>
      <c r="AE10" s="377" t="s">
        <v>208</v>
      </c>
      <c r="AF10" s="377" t="s">
        <v>196</v>
      </c>
      <c r="AG10" s="377" t="s">
        <v>197</v>
      </c>
      <c r="AH10" s="382">
        <v>36.75</v>
      </c>
      <c r="AI10" s="382">
        <v>251.5</v>
      </c>
      <c r="AJ10" s="377" t="s">
        <v>198</v>
      </c>
      <c r="AK10" s="377" t="s">
        <v>199</v>
      </c>
      <c r="AL10" s="377" t="s">
        <v>174</v>
      </c>
      <c r="AM10" s="377" t="s">
        <v>200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201</v>
      </c>
      <c r="AS10" s="387">
        <f t="shared" si="27"/>
        <v>1</v>
      </c>
      <c r="AT10">
        <f t="shared" si="28"/>
        <v>1</v>
      </c>
      <c r="AU10" s="387">
        <f>IF(AT10=0,"",IF(AND(AT10=1,M10="F",SUMIF(C2:C25,C10,AS2:AS25)&lt;=1),SUMIF(C2:C25,C10,AS2:AS25),IF(AND(AT10=1,M10="F",SUMIF(C2:C25,C10,AS2:AS25)&gt;1),1,"")))</f>
        <v>1</v>
      </c>
      <c r="AV10" s="387" t="str">
        <f>IF(AT10=0,"",IF(AND(AT10=3,M10="F",SUMIF(C2:C25,C10,AS2:AS25)&lt;=1),SUMIF(C2:C25,C10,AS2:AS25),IF(AND(AT10=3,M10="F",SUMIF(C2:C25,C10,AS2:AS25)&gt;1),1,"")))</f>
        <v/>
      </c>
      <c r="AW10" s="387">
        <f>SUMIF(C2:C25,C10,O2:O25)</f>
        <v>1</v>
      </c>
      <c r="AX10" s="387">
        <f>IF(AND(M10="F",AS10&lt;&gt;0),SUMIF(C2:C25,C10,W2:W25),0)</f>
        <v>76440</v>
      </c>
      <c r="AY10" s="387">
        <f t="shared" si="29"/>
        <v>76440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4739.28</v>
      </c>
      <c r="BE10" s="387">
        <f t="shared" si="3"/>
        <v>1108.3800000000001</v>
      </c>
      <c r="BF10" s="387">
        <f t="shared" si="4"/>
        <v>9126.9359999999997</v>
      </c>
      <c r="BG10" s="387">
        <f t="shared" si="5"/>
        <v>551.13240000000008</v>
      </c>
      <c r="BH10" s="387">
        <f t="shared" si="6"/>
        <v>0</v>
      </c>
      <c r="BI10" s="387">
        <f t="shared" si="7"/>
        <v>233.90639999999999</v>
      </c>
      <c r="BJ10" s="387">
        <f t="shared" si="8"/>
        <v>252.25200000000001</v>
      </c>
      <c r="BK10" s="387">
        <f t="shared" si="9"/>
        <v>0</v>
      </c>
      <c r="BL10" s="387">
        <f t="shared" si="32"/>
        <v>16011.8868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4739.28</v>
      </c>
      <c r="BQ10" s="387">
        <f t="shared" si="13"/>
        <v>1108.3800000000001</v>
      </c>
      <c r="BR10" s="387">
        <f t="shared" si="14"/>
        <v>8545.9920000000002</v>
      </c>
      <c r="BS10" s="387">
        <f t="shared" si="15"/>
        <v>551.13240000000008</v>
      </c>
      <c r="BT10" s="387">
        <f t="shared" si="16"/>
        <v>0</v>
      </c>
      <c r="BU10" s="387">
        <f t="shared" si="17"/>
        <v>233.90639999999999</v>
      </c>
      <c r="BV10" s="387">
        <f t="shared" si="18"/>
        <v>183.45599999999999</v>
      </c>
      <c r="BW10" s="387">
        <f t="shared" si="19"/>
        <v>0</v>
      </c>
      <c r="BX10" s="387">
        <f t="shared" si="34"/>
        <v>15362.1468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-580.94400000000076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-68.796000000000021</v>
      </c>
      <c r="CI10" s="387">
        <f t="shared" si="26"/>
        <v>0</v>
      </c>
      <c r="CJ10" s="387">
        <f t="shared" si="39"/>
        <v>-649.7400000000008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0475-12</v>
      </c>
    </row>
    <row r="11" spans="1:92" ht="15.75" thickBot="1" x14ac:dyDescent="0.3">
      <c r="A11" s="377" t="s">
        <v>162</v>
      </c>
      <c r="B11" s="377" t="s">
        <v>163</v>
      </c>
      <c r="C11" s="377" t="s">
        <v>218</v>
      </c>
      <c r="D11" s="377" t="s">
        <v>207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208</v>
      </c>
      <c r="L11" s="377" t="s">
        <v>174</v>
      </c>
      <c r="M11" s="377" t="s">
        <v>178</v>
      </c>
      <c r="N11" s="377" t="s">
        <v>183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4410</v>
      </c>
      <c r="U11" s="381">
        <v>0</v>
      </c>
      <c r="V11" s="381">
        <v>2954.87</v>
      </c>
      <c r="W11" s="381">
        <v>76440</v>
      </c>
      <c r="X11" s="381">
        <v>28511.87</v>
      </c>
      <c r="Y11" s="381">
        <v>76440</v>
      </c>
      <c r="Z11" s="381">
        <v>29112.13</v>
      </c>
      <c r="AA11" s="377" t="s">
        <v>219</v>
      </c>
      <c r="AB11" s="377" t="s">
        <v>220</v>
      </c>
      <c r="AC11" s="377" t="s">
        <v>221</v>
      </c>
      <c r="AD11" s="377" t="s">
        <v>222</v>
      </c>
      <c r="AE11" s="377" t="s">
        <v>208</v>
      </c>
      <c r="AF11" s="377" t="s">
        <v>196</v>
      </c>
      <c r="AG11" s="377" t="s">
        <v>197</v>
      </c>
      <c r="AH11" s="382">
        <v>36.75</v>
      </c>
      <c r="AI11" s="380">
        <v>2896</v>
      </c>
      <c r="AJ11" s="377" t="s">
        <v>198</v>
      </c>
      <c r="AK11" s="377" t="s">
        <v>199</v>
      </c>
      <c r="AL11" s="377" t="s">
        <v>174</v>
      </c>
      <c r="AM11" s="377" t="s">
        <v>200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201</v>
      </c>
      <c r="AS11" s="387">
        <f t="shared" si="27"/>
        <v>1</v>
      </c>
      <c r="AT11">
        <f t="shared" si="28"/>
        <v>1</v>
      </c>
      <c r="AU11" s="387">
        <f>IF(AT11=0,"",IF(AND(AT11=1,M11="F",SUMIF(C2:C25,C11,AS2:AS25)&lt;=1),SUMIF(C2:C25,C11,AS2:AS25),IF(AND(AT11=1,M11="F",SUMIF(C2:C25,C11,AS2:AS25)&gt;1),1,"")))</f>
        <v>1</v>
      </c>
      <c r="AV11" s="387" t="str">
        <f>IF(AT11=0,"",IF(AND(AT11=3,M11="F",SUMIF(C2:C25,C11,AS2:AS25)&lt;=1),SUMIF(C2:C25,C11,AS2:AS25),IF(AND(AT11=3,M11="F",SUMIF(C2:C25,C11,AS2:AS25)&gt;1),1,"")))</f>
        <v/>
      </c>
      <c r="AW11" s="387">
        <f>SUMIF(C2:C25,C11,O2:O25)</f>
        <v>1</v>
      </c>
      <c r="AX11" s="387">
        <f>IF(AND(M11="F",AS11&lt;&gt;0),SUMIF(C2:C25,C11,W2:W25),0)</f>
        <v>76440</v>
      </c>
      <c r="AY11" s="387">
        <f t="shared" si="29"/>
        <v>76440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4739.28</v>
      </c>
      <c r="BE11" s="387">
        <f t="shared" si="3"/>
        <v>1108.3800000000001</v>
      </c>
      <c r="BF11" s="387">
        <f t="shared" si="4"/>
        <v>9126.9359999999997</v>
      </c>
      <c r="BG11" s="387">
        <f t="shared" si="5"/>
        <v>551.13240000000008</v>
      </c>
      <c r="BH11" s="387">
        <f t="shared" si="6"/>
        <v>0</v>
      </c>
      <c r="BI11" s="387">
        <f t="shared" si="7"/>
        <v>233.90639999999999</v>
      </c>
      <c r="BJ11" s="387">
        <f t="shared" si="8"/>
        <v>252.25200000000001</v>
      </c>
      <c r="BK11" s="387">
        <f t="shared" si="9"/>
        <v>0</v>
      </c>
      <c r="BL11" s="387">
        <f t="shared" si="32"/>
        <v>16011.8868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4739.28</v>
      </c>
      <c r="BQ11" s="387">
        <f t="shared" si="13"/>
        <v>1108.3800000000001</v>
      </c>
      <c r="BR11" s="387">
        <f t="shared" si="14"/>
        <v>8545.9920000000002</v>
      </c>
      <c r="BS11" s="387">
        <f t="shared" si="15"/>
        <v>551.13240000000008</v>
      </c>
      <c r="BT11" s="387">
        <f t="shared" si="16"/>
        <v>0</v>
      </c>
      <c r="BU11" s="387">
        <f t="shared" si="17"/>
        <v>233.90639999999999</v>
      </c>
      <c r="BV11" s="387">
        <f t="shared" si="18"/>
        <v>183.45599999999999</v>
      </c>
      <c r="BW11" s="387">
        <f t="shared" si="19"/>
        <v>0</v>
      </c>
      <c r="BX11" s="387">
        <f t="shared" si="34"/>
        <v>15362.1468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-580.94400000000076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-68.796000000000021</v>
      </c>
      <c r="CI11" s="387">
        <f t="shared" si="26"/>
        <v>0</v>
      </c>
      <c r="CJ11" s="387">
        <f t="shared" si="39"/>
        <v>-649.7400000000008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0475-12</v>
      </c>
    </row>
    <row r="12" spans="1:92" ht="15.75" thickBot="1" x14ac:dyDescent="0.3">
      <c r="A12" s="377" t="s">
        <v>162</v>
      </c>
      <c r="B12" s="377" t="s">
        <v>163</v>
      </c>
      <c r="C12" s="377" t="s">
        <v>223</v>
      </c>
      <c r="D12" s="377" t="s">
        <v>207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208</v>
      </c>
      <c r="L12" s="377" t="s">
        <v>174</v>
      </c>
      <c r="M12" s="377" t="s">
        <v>178</v>
      </c>
      <c r="N12" s="377" t="s">
        <v>183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5880.01</v>
      </c>
      <c r="U12" s="381">
        <v>0</v>
      </c>
      <c r="V12" s="381">
        <v>2247.9899999999998</v>
      </c>
      <c r="W12" s="381">
        <v>76440</v>
      </c>
      <c r="X12" s="381">
        <v>28511.87</v>
      </c>
      <c r="Y12" s="381">
        <v>76440</v>
      </c>
      <c r="Z12" s="381">
        <v>29112.13</v>
      </c>
      <c r="AA12" s="377" t="s">
        <v>224</v>
      </c>
      <c r="AB12" s="377" t="s">
        <v>225</v>
      </c>
      <c r="AC12" s="377" t="s">
        <v>226</v>
      </c>
      <c r="AD12" s="377" t="s">
        <v>227</v>
      </c>
      <c r="AE12" s="377" t="s">
        <v>208</v>
      </c>
      <c r="AF12" s="377" t="s">
        <v>196</v>
      </c>
      <c r="AG12" s="377" t="s">
        <v>197</v>
      </c>
      <c r="AH12" s="382">
        <v>36.75</v>
      </c>
      <c r="AI12" s="382">
        <v>8190.8</v>
      </c>
      <c r="AJ12" s="377" t="s">
        <v>198</v>
      </c>
      <c r="AK12" s="377" t="s">
        <v>199</v>
      </c>
      <c r="AL12" s="377" t="s">
        <v>174</v>
      </c>
      <c r="AM12" s="377" t="s">
        <v>200</v>
      </c>
      <c r="AN12" s="377" t="s">
        <v>66</v>
      </c>
      <c r="AO12" s="380">
        <v>80</v>
      </c>
      <c r="AP12" s="385">
        <v>1</v>
      </c>
      <c r="AQ12" s="385">
        <v>1</v>
      </c>
      <c r="AR12" s="384" t="s">
        <v>201</v>
      </c>
      <c r="AS12" s="387">
        <f t="shared" si="27"/>
        <v>1</v>
      </c>
      <c r="AT12">
        <f t="shared" si="28"/>
        <v>1</v>
      </c>
      <c r="AU12" s="387">
        <f>IF(AT12=0,"",IF(AND(AT12=1,M12="F",SUMIF(C2:C25,C12,AS2:AS25)&lt;=1),SUMIF(C2:C25,C12,AS2:AS25),IF(AND(AT12=1,M12="F",SUMIF(C2:C25,C12,AS2:AS25)&gt;1),1,"")))</f>
        <v>1</v>
      </c>
      <c r="AV12" s="387" t="str">
        <f>IF(AT12=0,"",IF(AND(AT12=3,M12="F",SUMIF(C2:C25,C12,AS2:AS25)&lt;=1),SUMIF(C2:C25,C12,AS2:AS25),IF(AND(AT12=3,M12="F",SUMIF(C2:C25,C12,AS2:AS25)&gt;1),1,"")))</f>
        <v/>
      </c>
      <c r="AW12" s="387">
        <f>SUMIF(C2:C25,C12,O2:O25)</f>
        <v>1</v>
      </c>
      <c r="AX12" s="387">
        <f>IF(AND(M12="F",AS12&lt;&gt;0),SUMIF(C2:C25,C12,W2:W25),0)</f>
        <v>76440</v>
      </c>
      <c r="AY12" s="387">
        <f t="shared" si="29"/>
        <v>76440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4739.28</v>
      </c>
      <c r="BE12" s="387">
        <f t="shared" si="3"/>
        <v>1108.3800000000001</v>
      </c>
      <c r="BF12" s="387">
        <f t="shared" si="4"/>
        <v>9126.9359999999997</v>
      </c>
      <c r="BG12" s="387">
        <f t="shared" si="5"/>
        <v>551.13240000000008</v>
      </c>
      <c r="BH12" s="387">
        <f t="shared" si="6"/>
        <v>0</v>
      </c>
      <c r="BI12" s="387">
        <f t="shared" si="7"/>
        <v>233.90639999999999</v>
      </c>
      <c r="BJ12" s="387">
        <f t="shared" si="8"/>
        <v>252.25200000000001</v>
      </c>
      <c r="BK12" s="387">
        <f t="shared" si="9"/>
        <v>0</v>
      </c>
      <c r="BL12" s="387">
        <f t="shared" si="32"/>
        <v>16011.8868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4739.28</v>
      </c>
      <c r="BQ12" s="387">
        <f t="shared" si="13"/>
        <v>1108.3800000000001</v>
      </c>
      <c r="BR12" s="387">
        <f t="shared" si="14"/>
        <v>8545.9920000000002</v>
      </c>
      <c r="BS12" s="387">
        <f t="shared" si="15"/>
        <v>551.13240000000008</v>
      </c>
      <c r="BT12" s="387">
        <f t="shared" si="16"/>
        <v>0</v>
      </c>
      <c r="BU12" s="387">
        <f t="shared" si="17"/>
        <v>233.90639999999999</v>
      </c>
      <c r="BV12" s="387">
        <f t="shared" si="18"/>
        <v>183.45599999999999</v>
      </c>
      <c r="BW12" s="387">
        <f t="shared" si="19"/>
        <v>0</v>
      </c>
      <c r="BX12" s="387">
        <f t="shared" si="34"/>
        <v>15362.1468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-580.94400000000076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-68.796000000000021</v>
      </c>
      <c r="CI12" s="387">
        <f t="shared" si="26"/>
        <v>0</v>
      </c>
      <c r="CJ12" s="387">
        <f t="shared" si="39"/>
        <v>-649.7400000000008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0475-12</v>
      </c>
    </row>
    <row r="13" spans="1:92" ht="15.75" thickBot="1" x14ac:dyDescent="0.3">
      <c r="A13" s="377" t="s">
        <v>162</v>
      </c>
      <c r="B13" s="377" t="s">
        <v>163</v>
      </c>
      <c r="C13" s="377" t="s">
        <v>228</v>
      </c>
      <c r="D13" s="377" t="s">
        <v>229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230</v>
      </c>
      <c r="L13" s="377" t="s">
        <v>231</v>
      </c>
      <c r="M13" s="377" t="s">
        <v>178</v>
      </c>
      <c r="N13" s="377" t="s">
        <v>183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90387.21</v>
      </c>
      <c r="U13" s="381">
        <v>0</v>
      </c>
      <c r="V13" s="381">
        <v>29991.87</v>
      </c>
      <c r="W13" s="381">
        <v>95971.199999999997</v>
      </c>
      <c r="X13" s="381">
        <v>32603.07</v>
      </c>
      <c r="Y13" s="381">
        <v>95971.199999999997</v>
      </c>
      <c r="Z13" s="381">
        <v>33037.32</v>
      </c>
      <c r="AA13" s="377" t="s">
        <v>232</v>
      </c>
      <c r="AB13" s="377" t="s">
        <v>233</v>
      </c>
      <c r="AC13" s="377" t="s">
        <v>226</v>
      </c>
      <c r="AD13" s="377" t="s">
        <v>234</v>
      </c>
      <c r="AE13" s="377" t="s">
        <v>230</v>
      </c>
      <c r="AF13" s="377" t="s">
        <v>235</v>
      </c>
      <c r="AG13" s="377" t="s">
        <v>197</v>
      </c>
      <c r="AH13" s="382">
        <v>46.14</v>
      </c>
      <c r="AI13" s="380">
        <v>26579</v>
      </c>
      <c r="AJ13" s="377" t="s">
        <v>198</v>
      </c>
      <c r="AK13" s="377" t="s">
        <v>199</v>
      </c>
      <c r="AL13" s="377" t="s">
        <v>174</v>
      </c>
      <c r="AM13" s="377" t="s">
        <v>200</v>
      </c>
      <c r="AN13" s="377" t="s">
        <v>66</v>
      </c>
      <c r="AO13" s="380">
        <v>80</v>
      </c>
      <c r="AP13" s="385">
        <v>1</v>
      </c>
      <c r="AQ13" s="385">
        <v>1</v>
      </c>
      <c r="AR13" s="384" t="s">
        <v>201</v>
      </c>
      <c r="AS13" s="387">
        <f t="shared" si="27"/>
        <v>1</v>
      </c>
      <c r="AT13">
        <f t="shared" si="28"/>
        <v>1</v>
      </c>
      <c r="AU13" s="387">
        <f>IF(AT13=0,"",IF(AND(AT13=1,M13="F",SUMIF(C2:C25,C13,AS2:AS25)&lt;=1),SUMIF(C2:C25,C13,AS2:AS25),IF(AND(AT13=1,M13="F",SUMIF(C2:C25,C13,AS2:AS25)&gt;1),1,"")))</f>
        <v>1</v>
      </c>
      <c r="AV13" s="387" t="str">
        <f>IF(AT13=0,"",IF(AND(AT13=3,M13="F",SUMIF(C2:C25,C13,AS2:AS25)&lt;=1),SUMIF(C2:C25,C13,AS2:AS25),IF(AND(AT13=3,M13="F",SUMIF(C2:C25,C13,AS2:AS25)&gt;1),1,"")))</f>
        <v/>
      </c>
      <c r="AW13" s="387">
        <f>SUMIF(C2:C25,C13,O2:O25)</f>
        <v>1</v>
      </c>
      <c r="AX13" s="387">
        <f>IF(AND(M13="F",AS13&lt;&gt;0),SUMIF(C2:C25,C13,W2:W25),0)</f>
        <v>95971.199999999997</v>
      </c>
      <c r="AY13" s="387">
        <f t="shared" si="29"/>
        <v>95971.199999999997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5950.2143999999998</v>
      </c>
      <c r="BE13" s="387">
        <f t="shared" si="3"/>
        <v>1391.5824</v>
      </c>
      <c r="BF13" s="387">
        <f t="shared" si="4"/>
        <v>11458.96128</v>
      </c>
      <c r="BG13" s="387">
        <f t="shared" si="5"/>
        <v>691.95235200000002</v>
      </c>
      <c r="BH13" s="387">
        <f t="shared" si="6"/>
        <v>0</v>
      </c>
      <c r="BI13" s="387">
        <f t="shared" si="7"/>
        <v>293.67187199999995</v>
      </c>
      <c r="BJ13" s="387">
        <f t="shared" si="8"/>
        <v>316.70495999999997</v>
      </c>
      <c r="BK13" s="387">
        <f t="shared" si="9"/>
        <v>0</v>
      </c>
      <c r="BL13" s="387">
        <f t="shared" si="32"/>
        <v>20103.087263999998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5950.2143999999998</v>
      </c>
      <c r="BQ13" s="387">
        <f t="shared" si="13"/>
        <v>1391.5824</v>
      </c>
      <c r="BR13" s="387">
        <f t="shared" si="14"/>
        <v>10729.58016</v>
      </c>
      <c r="BS13" s="387">
        <f t="shared" si="15"/>
        <v>691.95235200000002</v>
      </c>
      <c r="BT13" s="387">
        <f t="shared" si="16"/>
        <v>0</v>
      </c>
      <c r="BU13" s="387">
        <f t="shared" si="17"/>
        <v>293.67187199999995</v>
      </c>
      <c r="BV13" s="387">
        <f t="shared" si="18"/>
        <v>230.33087999999998</v>
      </c>
      <c r="BW13" s="387">
        <f t="shared" si="19"/>
        <v>0</v>
      </c>
      <c r="BX13" s="387">
        <f t="shared" si="34"/>
        <v>19287.332064000002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-729.38112000000092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-86.374080000000021</v>
      </c>
      <c r="CI13" s="387">
        <f t="shared" si="26"/>
        <v>0</v>
      </c>
      <c r="CJ13" s="387">
        <f t="shared" si="39"/>
        <v>-815.75520000000097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0475-12</v>
      </c>
    </row>
    <row r="14" spans="1:92" ht="15.75" thickBot="1" x14ac:dyDescent="0.3">
      <c r="A14" s="377" t="s">
        <v>162</v>
      </c>
      <c r="B14" s="377" t="s">
        <v>163</v>
      </c>
      <c r="C14" s="377" t="s">
        <v>236</v>
      </c>
      <c r="D14" s="377" t="s">
        <v>237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238</v>
      </c>
      <c r="L14" s="377" t="s">
        <v>239</v>
      </c>
      <c r="M14" s="377" t="s">
        <v>178</v>
      </c>
      <c r="N14" s="377" t="s">
        <v>183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76738.77</v>
      </c>
      <c r="U14" s="381">
        <v>0</v>
      </c>
      <c r="V14" s="381">
        <v>27893.24</v>
      </c>
      <c r="W14" s="381">
        <v>84468.800000000003</v>
      </c>
      <c r="X14" s="381">
        <v>30193.65</v>
      </c>
      <c r="Y14" s="381">
        <v>84468.800000000003</v>
      </c>
      <c r="Z14" s="381">
        <v>30725.67</v>
      </c>
      <c r="AA14" s="377" t="s">
        <v>240</v>
      </c>
      <c r="AB14" s="377" t="s">
        <v>241</v>
      </c>
      <c r="AC14" s="377" t="s">
        <v>242</v>
      </c>
      <c r="AD14" s="377" t="s">
        <v>243</v>
      </c>
      <c r="AE14" s="377" t="s">
        <v>238</v>
      </c>
      <c r="AF14" s="377" t="s">
        <v>244</v>
      </c>
      <c r="AG14" s="377" t="s">
        <v>197</v>
      </c>
      <c r="AH14" s="382">
        <v>40.61</v>
      </c>
      <c r="AI14" s="382">
        <v>19710.2</v>
      </c>
      <c r="AJ14" s="377" t="s">
        <v>198</v>
      </c>
      <c r="AK14" s="377" t="s">
        <v>199</v>
      </c>
      <c r="AL14" s="377" t="s">
        <v>174</v>
      </c>
      <c r="AM14" s="377" t="s">
        <v>200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201</v>
      </c>
      <c r="AS14" s="387">
        <f t="shared" si="27"/>
        <v>1</v>
      </c>
      <c r="AT14">
        <f t="shared" si="28"/>
        <v>1</v>
      </c>
      <c r="AU14" s="387">
        <f>IF(AT14=0,"",IF(AND(AT14=1,M14="F",SUMIF(C2:C25,C14,AS2:AS25)&lt;=1),SUMIF(C2:C25,C14,AS2:AS25),IF(AND(AT14=1,M14="F",SUMIF(C2:C25,C14,AS2:AS25)&gt;1),1,"")))</f>
        <v>1</v>
      </c>
      <c r="AV14" s="387" t="str">
        <f>IF(AT14=0,"",IF(AND(AT14=3,M14="F",SUMIF(C2:C25,C14,AS2:AS25)&lt;=1),SUMIF(C2:C25,C14,AS2:AS25),IF(AND(AT14=3,M14="F",SUMIF(C2:C25,C14,AS2:AS25)&gt;1),1,"")))</f>
        <v/>
      </c>
      <c r="AW14" s="387">
        <f>SUMIF(C2:C25,C14,O2:O25)</f>
        <v>1</v>
      </c>
      <c r="AX14" s="387">
        <f>IF(AND(M14="F",AS14&lt;&gt;0),SUMIF(C2:C25,C14,W2:W25),0)</f>
        <v>84468.800000000003</v>
      </c>
      <c r="AY14" s="387">
        <f t="shared" si="29"/>
        <v>84468.800000000003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5237.0655999999999</v>
      </c>
      <c r="BE14" s="387">
        <f t="shared" si="3"/>
        <v>1224.7976000000001</v>
      </c>
      <c r="BF14" s="387">
        <f t="shared" si="4"/>
        <v>10085.574720000001</v>
      </c>
      <c r="BG14" s="387">
        <f t="shared" si="5"/>
        <v>609.02004800000009</v>
      </c>
      <c r="BH14" s="387">
        <f t="shared" si="6"/>
        <v>0</v>
      </c>
      <c r="BI14" s="387">
        <f t="shared" si="7"/>
        <v>258.47452799999996</v>
      </c>
      <c r="BJ14" s="387">
        <f t="shared" si="8"/>
        <v>278.74704000000003</v>
      </c>
      <c r="BK14" s="387">
        <f t="shared" si="9"/>
        <v>0</v>
      </c>
      <c r="BL14" s="387">
        <f t="shared" si="32"/>
        <v>17693.679535999996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5237.0655999999999</v>
      </c>
      <c r="BQ14" s="387">
        <f t="shared" si="13"/>
        <v>1224.7976000000001</v>
      </c>
      <c r="BR14" s="387">
        <f t="shared" si="14"/>
        <v>9443.6118399999996</v>
      </c>
      <c r="BS14" s="387">
        <f t="shared" si="15"/>
        <v>609.02004800000009</v>
      </c>
      <c r="BT14" s="387">
        <f t="shared" si="16"/>
        <v>0</v>
      </c>
      <c r="BU14" s="387">
        <f t="shared" si="17"/>
        <v>258.47452799999996</v>
      </c>
      <c r="BV14" s="387">
        <f t="shared" si="18"/>
        <v>202.72511999999998</v>
      </c>
      <c r="BW14" s="387">
        <f t="shared" si="19"/>
        <v>0</v>
      </c>
      <c r="BX14" s="387">
        <f t="shared" si="34"/>
        <v>16975.694735999998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-641.96288000000084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-76.021920000000023</v>
      </c>
      <c r="CI14" s="387">
        <f t="shared" si="26"/>
        <v>0</v>
      </c>
      <c r="CJ14" s="387">
        <f t="shared" si="39"/>
        <v>-717.98480000000086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0475-12</v>
      </c>
    </row>
    <row r="15" spans="1:92" ht="15.75" thickBot="1" x14ac:dyDescent="0.3">
      <c r="A15" s="377" t="s">
        <v>162</v>
      </c>
      <c r="B15" s="377" t="s">
        <v>163</v>
      </c>
      <c r="C15" s="377" t="s">
        <v>245</v>
      </c>
      <c r="D15" s="377" t="s">
        <v>246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247</v>
      </c>
      <c r="L15" s="377" t="s">
        <v>174</v>
      </c>
      <c r="M15" s="377" t="s">
        <v>178</v>
      </c>
      <c r="N15" s="377" t="s">
        <v>183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80094.11</v>
      </c>
      <c r="U15" s="381">
        <v>0</v>
      </c>
      <c r="V15" s="381">
        <v>28828.16</v>
      </c>
      <c r="W15" s="381">
        <v>84468.800000000003</v>
      </c>
      <c r="X15" s="381">
        <v>30193.65</v>
      </c>
      <c r="Y15" s="381">
        <v>84468.800000000003</v>
      </c>
      <c r="Z15" s="381">
        <v>30725.67</v>
      </c>
      <c r="AA15" s="377" t="s">
        <v>248</v>
      </c>
      <c r="AB15" s="377" t="s">
        <v>249</v>
      </c>
      <c r="AC15" s="377" t="s">
        <v>250</v>
      </c>
      <c r="AD15" s="377" t="s">
        <v>234</v>
      </c>
      <c r="AE15" s="377" t="s">
        <v>247</v>
      </c>
      <c r="AF15" s="377" t="s">
        <v>196</v>
      </c>
      <c r="AG15" s="377" t="s">
        <v>197</v>
      </c>
      <c r="AH15" s="382">
        <v>40.61</v>
      </c>
      <c r="AI15" s="380">
        <v>12313</v>
      </c>
      <c r="AJ15" s="377" t="s">
        <v>198</v>
      </c>
      <c r="AK15" s="377" t="s">
        <v>199</v>
      </c>
      <c r="AL15" s="377" t="s">
        <v>174</v>
      </c>
      <c r="AM15" s="377" t="s">
        <v>200</v>
      </c>
      <c r="AN15" s="377" t="s">
        <v>66</v>
      </c>
      <c r="AO15" s="380">
        <v>80</v>
      </c>
      <c r="AP15" s="385">
        <v>1</v>
      </c>
      <c r="AQ15" s="385">
        <v>1</v>
      </c>
      <c r="AR15" s="384" t="s">
        <v>201</v>
      </c>
      <c r="AS15" s="387">
        <f t="shared" si="27"/>
        <v>1</v>
      </c>
      <c r="AT15">
        <f t="shared" si="28"/>
        <v>1</v>
      </c>
      <c r="AU15" s="387">
        <f>IF(AT15=0,"",IF(AND(AT15=1,M15="F",SUMIF(C2:C25,C15,AS2:AS25)&lt;=1),SUMIF(C2:C25,C15,AS2:AS25),IF(AND(AT15=1,M15="F",SUMIF(C2:C25,C15,AS2:AS25)&gt;1),1,"")))</f>
        <v>1</v>
      </c>
      <c r="AV15" s="387" t="str">
        <f>IF(AT15=0,"",IF(AND(AT15=3,M15="F",SUMIF(C2:C25,C15,AS2:AS25)&lt;=1),SUMIF(C2:C25,C15,AS2:AS25),IF(AND(AT15=3,M15="F",SUMIF(C2:C25,C15,AS2:AS25)&gt;1),1,"")))</f>
        <v/>
      </c>
      <c r="AW15" s="387">
        <f>SUMIF(C2:C25,C15,O2:O25)</f>
        <v>1</v>
      </c>
      <c r="AX15" s="387">
        <f>IF(AND(M15="F",AS15&lt;&gt;0),SUMIF(C2:C25,C15,W2:W25),0)</f>
        <v>84468.800000000003</v>
      </c>
      <c r="AY15" s="387">
        <f t="shared" si="29"/>
        <v>84468.800000000003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5237.0655999999999</v>
      </c>
      <c r="BE15" s="387">
        <f t="shared" si="3"/>
        <v>1224.7976000000001</v>
      </c>
      <c r="BF15" s="387">
        <f t="shared" si="4"/>
        <v>10085.574720000001</v>
      </c>
      <c r="BG15" s="387">
        <f t="shared" si="5"/>
        <v>609.02004800000009</v>
      </c>
      <c r="BH15" s="387">
        <f t="shared" si="6"/>
        <v>0</v>
      </c>
      <c r="BI15" s="387">
        <f t="shared" si="7"/>
        <v>258.47452799999996</v>
      </c>
      <c r="BJ15" s="387">
        <f t="shared" si="8"/>
        <v>278.74704000000003</v>
      </c>
      <c r="BK15" s="387">
        <f t="shared" si="9"/>
        <v>0</v>
      </c>
      <c r="BL15" s="387">
        <f t="shared" si="32"/>
        <v>17693.679535999996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5237.0655999999999</v>
      </c>
      <c r="BQ15" s="387">
        <f t="shared" si="13"/>
        <v>1224.7976000000001</v>
      </c>
      <c r="BR15" s="387">
        <f t="shared" si="14"/>
        <v>9443.6118399999996</v>
      </c>
      <c r="BS15" s="387">
        <f t="shared" si="15"/>
        <v>609.02004800000009</v>
      </c>
      <c r="BT15" s="387">
        <f t="shared" si="16"/>
        <v>0</v>
      </c>
      <c r="BU15" s="387">
        <f t="shared" si="17"/>
        <v>258.47452799999996</v>
      </c>
      <c r="BV15" s="387">
        <f t="shared" si="18"/>
        <v>202.72511999999998</v>
      </c>
      <c r="BW15" s="387">
        <f t="shared" si="19"/>
        <v>0</v>
      </c>
      <c r="BX15" s="387">
        <f t="shared" si="34"/>
        <v>16975.694735999998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-641.96288000000084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-76.021920000000023</v>
      </c>
      <c r="CI15" s="387">
        <f t="shared" si="26"/>
        <v>0</v>
      </c>
      <c r="CJ15" s="387">
        <f t="shared" si="39"/>
        <v>-717.98480000000086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0475-12</v>
      </c>
    </row>
    <row r="16" spans="1:92" ht="15.75" thickBot="1" x14ac:dyDescent="0.3">
      <c r="A16" s="377" t="s">
        <v>162</v>
      </c>
      <c r="B16" s="377" t="s">
        <v>163</v>
      </c>
      <c r="C16" s="377" t="s">
        <v>251</v>
      </c>
      <c r="D16" s="377" t="s">
        <v>252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253</v>
      </c>
      <c r="L16" s="377" t="s">
        <v>239</v>
      </c>
      <c r="M16" s="377" t="s">
        <v>178</v>
      </c>
      <c r="N16" s="377" t="s">
        <v>183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89052.04</v>
      </c>
      <c r="U16" s="381">
        <v>0</v>
      </c>
      <c r="V16" s="381">
        <v>28749.99</v>
      </c>
      <c r="W16" s="381">
        <v>89440</v>
      </c>
      <c r="X16" s="381">
        <v>31234.98</v>
      </c>
      <c r="Y16" s="381">
        <v>89440</v>
      </c>
      <c r="Z16" s="381">
        <v>31724.74</v>
      </c>
      <c r="AA16" s="377" t="s">
        <v>254</v>
      </c>
      <c r="AB16" s="377" t="s">
        <v>255</v>
      </c>
      <c r="AC16" s="377" t="s">
        <v>256</v>
      </c>
      <c r="AD16" s="377" t="s">
        <v>257</v>
      </c>
      <c r="AE16" s="377" t="s">
        <v>253</v>
      </c>
      <c r="AF16" s="377" t="s">
        <v>244</v>
      </c>
      <c r="AG16" s="377" t="s">
        <v>197</v>
      </c>
      <c r="AH16" s="380">
        <v>43</v>
      </c>
      <c r="AI16" s="382">
        <v>15898.3</v>
      </c>
      <c r="AJ16" s="377" t="s">
        <v>198</v>
      </c>
      <c r="AK16" s="377" t="s">
        <v>199</v>
      </c>
      <c r="AL16" s="377" t="s">
        <v>174</v>
      </c>
      <c r="AM16" s="377" t="s">
        <v>200</v>
      </c>
      <c r="AN16" s="377" t="s">
        <v>66</v>
      </c>
      <c r="AO16" s="380">
        <v>80</v>
      </c>
      <c r="AP16" s="385">
        <v>1</v>
      </c>
      <c r="AQ16" s="385">
        <v>1</v>
      </c>
      <c r="AR16" s="384" t="s">
        <v>201</v>
      </c>
      <c r="AS16" s="387">
        <f t="shared" si="27"/>
        <v>1</v>
      </c>
      <c r="AT16">
        <f t="shared" si="28"/>
        <v>1</v>
      </c>
      <c r="AU16" s="387">
        <f>IF(AT16=0,"",IF(AND(AT16=1,M16="F",SUMIF(C2:C25,C16,AS2:AS25)&lt;=1),SUMIF(C2:C25,C16,AS2:AS25),IF(AND(AT16=1,M16="F",SUMIF(C2:C25,C16,AS2:AS25)&gt;1),1,"")))</f>
        <v>1</v>
      </c>
      <c r="AV16" s="387" t="str">
        <f>IF(AT16=0,"",IF(AND(AT16=3,M16="F",SUMIF(C2:C25,C16,AS2:AS25)&lt;=1),SUMIF(C2:C25,C16,AS2:AS25),IF(AND(AT16=3,M16="F",SUMIF(C2:C25,C16,AS2:AS25)&gt;1),1,"")))</f>
        <v/>
      </c>
      <c r="AW16" s="387">
        <f>SUMIF(C2:C25,C16,O2:O25)</f>
        <v>1</v>
      </c>
      <c r="AX16" s="387">
        <f>IF(AND(M16="F",AS16&lt;&gt;0),SUMIF(C2:C25,C16,W2:W25),0)</f>
        <v>89440</v>
      </c>
      <c r="AY16" s="387">
        <f t="shared" si="29"/>
        <v>89440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5545.28</v>
      </c>
      <c r="BE16" s="387">
        <f t="shared" si="3"/>
        <v>1296.8800000000001</v>
      </c>
      <c r="BF16" s="387">
        <f t="shared" si="4"/>
        <v>10679.136</v>
      </c>
      <c r="BG16" s="387">
        <f t="shared" si="5"/>
        <v>644.86239999999998</v>
      </c>
      <c r="BH16" s="387">
        <f t="shared" si="6"/>
        <v>0</v>
      </c>
      <c r="BI16" s="387">
        <f t="shared" si="7"/>
        <v>273.68639999999999</v>
      </c>
      <c r="BJ16" s="387">
        <f t="shared" si="8"/>
        <v>295.15199999999999</v>
      </c>
      <c r="BK16" s="387">
        <f t="shared" si="9"/>
        <v>0</v>
      </c>
      <c r="BL16" s="387">
        <f t="shared" si="32"/>
        <v>18734.996799999997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5545.28</v>
      </c>
      <c r="BQ16" s="387">
        <f t="shared" si="13"/>
        <v>1296.8800000000001</v>
      </c>
      <c r="BR16" s="387">
        <f t="shared" si="14"/>
        <v>9999.3919999999998</v>
      </c>
      <c r="BS16" s="387">
        <f t="shared" si="15"/>
        <v>644.86239999999998</v>
      </c>
      <c r="BT16" s="387">
        <f t="shared" si="16"/>
        <v>0</v>
      </c>
      <c r="BU16" s="387">
        <f t="shared" si="17"/>
        <v>273.68639999999999</v>
      </c>
      <c r="BV16" s="387">
        <f t="shared" si="18"/>
        <v>214.65599999999998</v>
      </c>
      <c r="BW16" s="387">
        <f t="shared" si="19"/>
        <v>0</v>
      </c>
      <c r="BX16" s="387">
        <f t="shared" si="34"/>
        <v>17974.756799999999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-679.74400000000082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-80.496000000000024</v>
      </c>
      <c r="CI16" s="387">
        <f t="shared" si="26"/>
        <v>0</v>
      </c>
      <c r="CJ16" s="387">
        <f t="shared" si="39"/>
        <v>-760.2400000000008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0475-12</v>
      </c>
    </row>
    <row r="17" spans="1:92" ht="15.75" thickBot="1" x14ac:dyDescent="0.3">
      <c r="A17" s="377" t="s">
        <v>162</v>
      </c>
      <c r="B17" s="377" t="s">
        <v>163</v>
      </c>
      <c r="C17" s="377" t="s">
        <v>258</v>
      </c>
      <c r="D17" s="377" t="s">
        <v>229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230</v>
      </c>
      <c r="L17" s="377" t="s">
        <v>231</v>
      </c>
      <c r="M17" s="377" t="s">
        <v>178</v>
      </c>
      <c r="N17" s="377" t="s">
        <v>183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115680.02</v>
      </c>
      <c r="U17" s="381">
        <v>0</v>
      </c>
      <c r="V17" s="381">
        <v>36168.74</v>
      </c>
      <c r="W17" s="381">
        <v>121576</v>
      </c>
      <c r="X17" s="381">
        <v>37966.51</v>
      </c>
      <c r="Y17" s="381">
        <v>121576</v>
      </c>
      <c r="Z17" s="381">
        <v>38183.11</v>
      </c>
      <c r="AA17" s="377" t="s">
        <v>259</v>
      </c>
      <c r="AB17" s="377" t="s">
        <v>260</v>
      </c>
      <c r="AC17" s="377" t="s">
        <v>261</v>
      </c>
      <c r="AD17" s="377" t="s">
        <v>205</v>
      </c>
      <c r="AE17" s="377" t="s">
        <v>230</v>
      </c>
      <c r="AF17" s="377" t="s">
        <v>235</v>
      </c>
      <c r="AG17" s="377" t="s">
        <v>197</v>
      </c>
      <c r="AH17" s="382">
        <v>58.45</v>
      </c>
      <c r="AI17" s="382">
        <v>57477.1</v>
      </c>
      <c r="AJ17" s="377" t="s">
        <v>198</v>
      </c>
      <c r="AK17" s="377" t="s">
        <v>199</v>
      </c>
      <c r="AL17" s="377" t="s">
        <v>174</v>
      </c>
      <c r="AM17" s="377" t="s">
        <v>200</v>
      </c>
      <c r="AN17" s="377" t="s">
        <v>66</v>
      </c>
      <c r="AO17" s="380">
        <v>80</v>
      </c>
      <c r="AP17" s="385">
        <v>1</v>
      </c>
      <c r="AQ17" s="385">
        <v>1</v>
      </c>
      <c r="AR17" s="384" t="s">
        <v>201</v>
      </c>
      <c r="AS17" s="387">
        <f t="shared" si="27"/>
        <v>1</v>
      </c>
      <c r="AT17">
        <f t="shared" si="28"/>
        <v>1</v>
      </c>
      <c r="AU17" s="387">
        <f>IF(AT17=0,"",IF(AND(AT17=1,M17="F",SUMIF(C2:C25,C17,AS2:AS25)&lt;=1),SUMIF(C2:C25,C17,AS2:AS25),IF(AND(AT17=1,M17="F",SUMIF(C2:C25,C17,AS2:AS25)&gt;1),1,"")))</f>
        <v>1</v>
      </c>
      <c r="AV17" s="387" t="str">
        <f>IF(AT17=0,"",IF(AND(AT17=3,M17="F",SUMIF(C2:C25,C17,AS2:AS25)&lt;=1),SUMIF(C2:C25,C17,AS2:AS25),IF(AND(AT17=3,M17="F",SUMIF(C2:C25,C17,AS2:AS25)&gt;1),1,"")))</f>
        <v/>
      </c>
      <c r="AW17" s="387">
        <f>SUMIF(C2:C25,C17,O2:O25)</f>
        <v>1</v>
      </c>
      <c r="AX17" s="387">
        <f>IF(AND(M17="F",AS17&lt;&gt;0),SUMIF(C2:C25,C17,W2:W25),0)</f>
        <v>121576</v>
      </c>
      <c r="AY17" s="387">
        <f t="shared" si="29"/>
        <v>121576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7537.7119999999995</v>
      </c>
      <c r="BE17" s="387">
        <f t="shared" si="3"/>
        <v>1762.8520000000001</v>
      </c>
      <c r="BF17" s="387">
        <f t="shared" si="4"/>
        <v>14516.1744</v>
      </c>
      <c r="BG17" s="387">
        <f t="shared" si="5"/>
        <v>876.56295999999998</v>
      </c>
      <c r="BH17" s="387">
        <f t="shared" si="6"/>
        <v>0</v>
      </c>
      <c r="BI17" s="387">
        <f t="shared" si="7"/>
        <v>372.02256</v>
      </c>
      <c r="BJ17" s="387">
        <f t="shared" si="8"/>
        <v>401.20080000000002</v>
      </c>
      <c r="BK17" s="387">
        <f t="shared" si="9"/>
        <v>0</v>
      </c>
      <c r="BL17" s="387">
        <f t="shared" si="32"/>
        <v>25466.524720000001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7537.7119999999995</v>
      </c>
      <c r="BQ17" s="387">
        <f t="shared" si="13"/>
        <v>1762.8520000000001</v>
      </c>
      <c r="BR17" s="387">
        <f t="shared" si="14"/>
        <v>13592.1968</v>
      </c>
      <c r="BS17" s="387">
        <f t="shared" si="15"/>
        <v>876.56295999999998</v>
      </c>
      <c r="BT17" s="387">
        <f t="shared" si="16"/>
        <v>0</v>
      </c>
      <c r="BU17" s="387">
        <f t="shared" si="17"/>
        <v>372.02256</v>
      </c>
      <c r="BV17" s="387">
        <f t="shared" si="18"/>
        <v>291.7824</v>
      </c>
      <c r="BW17" s="387">
        <f t="shared" si="19"/>
        <v>0</v>
      </c>
      <c r="BX17" s="387">
        <f t="shared" si="34"/>
        <v>24433.128720000001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-923.97760000000119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-109.41840000000002</v>
      </c>
      <c r="CI17" s="387">
        <f t="shared" si="26"/>
        <v>0</v>
      </c>
      <c r="CJ17" s="387">
        <f t="shared" si="39"/>
        <v>-1033.3960000000011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0475-12</v>
      </c>
    </row>
    <row r="18" spans="1:92" ht="15.75" thickBot="1" x14ac:dyDescent="0.3">
      <c r="A18" s="377" t="s">
        <v>162</v>
      </c>
      <c r="B18" s="377" t="s">
        <v>163</v>
      </c>
      <c r="C18" s="377" t="s">
        <v>262</v>
      </c>
      <c r="D18" s="377" t="s">
        <v>263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264</v>
      </c>
      <c r="L18" s="377" t="s">
        <v>265</v>
      </c>
      <c r="M18" s="377" t="s">
        <v>178</v>
      </c>
      <c r="N18" s="377" t="s">
        <v>183</v>
      </c>
      <c r="O18" s="380">
        <v>1</v>
      </c>
      <c r="P18" s="385">
        <v>1</v>
      </c>
      <c r="Q18" s="385">
        <v>1</v>
      </c>
      <c r="R18" s="381">
        <v>80</v>
      </c>
      <c r="S18" s="385">
        <v>1</v>
      </c>
      <c r="T18" s="381">
        <v>54851.199999999997</v>
      </c>
      <c r="U18" s="381">
        <v>0</v>
      </c>
      <c r="V18" s="381">
        <v>23341.65</v>
      </c>
      <c r="W18" s="381">
        <v>58739.199999999997</v>
      </c>
      <c r="X18" s="381">
        <v>24804.07</v>
      </c>
      <c r="Y18" s="381">
        <v>58739.199999999997</v>
      </c>
      <c r="Z18" s="381">
        <v>25554.79</v>
      </c>
      <c r="AA18" s="377" t="s">
        <v>266</v>
      </c>
      <c r="AB18" s="377" t="s">
        <v>267</v>
      </c>
      <c r="AC18" s="377" t="s">
        <v>268</v>
      </c>
      <c r="AD18" s="377" t="s">
        <v>197</v>
      </c>
      <c r="AE18" s="377" t="s">
        <v>264</v>
      </c>
      <c r="AF18" s="377" t="s">
        <v>269</v>
      </c>
      <c r="AG18" s="377" t="s">
        <v>197</v>
      </c>
      <c r="AH18" s="382">
        <v>28.24</v>
      </c>
      <c r="AI18" s="382">
        <v>59189.8</v>
      </c>
      <c r="AJ18" s="377" t="s">
        <v>198</v>
      </c>
      <c r="AK18" s="377" t="s">
        <v>199</v>
      </c>
      <c r="AL18" s="377" t="s">
        <v>174</v>
      </c>
      <c r="AM18" s="377" t="s">
        <v>200</v>
      </c>
      <c r="AN18" s="377" t="s">
        <v>66</v>
      </c>
      <c r="AO18" s="380">
        <v>80</v>
      </c>
      <c r="AP18" s="385">
        <v>1</v>
      </c>
      <c r="AQ18" s="385">
        <v>1</v>
      </c>
      <c r="AR18" s="384" t="s">
        <v>201</v>
      </c>
      <c r="AS18" s="387">
        <f t="shared" si="27"/>
        <v>1</v>
      </c>
      <c r="AT18">
        <f t="shared" si="28"/>
        <v>1</v>
      </c>
      <c r="AU18" s="387">
        <f>IF(AT18=0,"",IF(AND(AT18=1,M18="F",SUMIF(C2:C25,C18,AS2:AS25)&lt;=1),SUMIF(C2:C25,C18,AS2:AS25),IF(AND(AT18=1,M18="F",SUMIF(C2:C25,C18,AS2:AS25)&gt;1),1,"")))</f>
        <v>1</v>
      </c>
      <c r="AV18" s="387" t="str">
        <f>IF(AT18=0,"",IF(AND(AT18=3,M18="F",SUMIF(C2:C25,C18,AS2:AS25)&lt;=1),SUMIF(C2:C25,C18,AS2:AS25),IF(AND(AT18=3,M18="F",SUMIF(C2:C25,C18,AS2:AS25)&gt;1),1,"")))</f>
        <v/>
      </c>
      <c r="AW18" s="387">
        <f>SUMIF(C2:C25,C18,O2:O25)</f>
        <v>1</v>
      </c>
      <c r="AX18" s="387">
        <f>IF(AND(M18="F",AS18&lt;&gt;0),SUMIF(C2:C25,C18,W2:W25),0)</f>
        <v>58739.199999999997</v>
      </c>
      <c r="AY18" s="387">
        <f t="shared" si="29"/>
        <v>58739.199999999997</v>
      </c>
      <c r="AZ18" s="387" t="str">
        <f t="shared" si="30"/>
        <v/>
      </c>
      <c r="BA18" s="387">
        <f t="shared" si="31"/>
        <v>0</v>
      </c>
      <c r="BB18" s="387">
        <f t="shared" si="0"/>
        <v>12500</v>
      </c>
      <c r="BC18" s="387">
        <f t="shared" si="1"/>
        <v>0</v>
      </c>
      <c r="BD18" s="387">
        <f t="shared" si="2"/>
        <v>3641.8303999999998</v>
      </c>
      <c r="BE18" s="387">
        <f t="shared" si="3"/>
        <v>851.71839999999997</v>
      </c>
      <c r="BF18" s="387">
        <f t="shared" si="4"/>
        <v>7013.4604799999997</v>
      </c>
      <c r="BG18" s="387">
        <f t="shared" si="5"/>
        <v>423.50963200000001</v>
      </c>
      <c r="BH18" s="387">
        <f t="shared" si="6"/>
        <v>0</v>
      </c>
      <c r="BI18" s="387">
        <f t="shared" si="7"/>
        <v>179.74195199999997</v>
      </c>
      <c r="BJ18" s="387">
        <f t="shared" si="8"/>
        <v>193.83936</v>
      </c>
      <c r="BK18" s="387">
        <f t="shared" si="9"/>
        <v>0</v>
      </c>
      <c r="BL18" s="387">
        <f t="shared" si="32"/>
        <v>12304.100223999998</v>
      </c>
      <c r="BM18" s="387">
        <f t="shared" si="33"/>
        <v>0</v>
      </c>
      <c r="BN18" s="387">
        <f t="shared" si="10"/>
        <v>13750</v>
      </c>
      <c r="BO18" s="387">
        <f t="shared" si="11"/>
        <v>0</v>
      </c>
      <c r="BP18" s="387">
        <f t="shared" si="12"/>
        <v>3641.8303999999998</v>
      </c>
      <c r="BQ18" s="387">
        <f t="shared" si="13"/>
        <v>851.71839999999997</v>
      </c>
      <c r="BR18" s="387">
        <f t="shared" si="14"/>
        <v>6567.0425599999999</v>
      </c>
      <c r="BS18" s="387">
        <f t="shared" si="15"/>
        <v>423.50963200000001</v>
      </c>
      <c r="BT18" s="387">
        <f t="shared" si="16"/>
        <v>0</v>
      </c>
      <c r="BU18" s="387">
        <f t="shared" si="17"/>
        <v>179.74195199999997</v>
      </c>
      <c r="BV18" s="387">
        <f t="shared" si="18"/>
        <v>140.97407999999999</v>
      </c>
      <c r="BW18" s="387">
        <f t="shared" si="19"/>
        <v>0</v>
      </c>
      <c r="BX18" s="387">
        <f t="shared" si="34"/>
        <v>11804.817023999998</v>
      </c>
      <c r="BY18" s="387">
        <f t="shared" si="35"/>
        <v>0</v>
      </c>
      <c r="BZ18" s="387">
        <f t="shared" si="36"/>
        <v>1250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-446.41792000000055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-52.865280000000006</v>
      </c>
      <c r="CI18" s="387">
        <f t="shared" si="26"/>
        <v>0</v>
      </c>
      <c r="CJ18" s="387">
        <f t="shared" si="39"/>
        <v>-499.28320000000053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0475-12</v>
      </c>
    </row>
    <row r="19" spans="1:92" ht="15.75" thickBot="1" x14ac:dyDescent="0.3">
      <c r="A19" s="377" t="s">
        <v>162</v>
      </c>
      <c r="B19" s="377" t="s">
        <v>163</v>
      </c>
      <c r="C19" s="377" t="s">
        <v>270</v>
      </c>
      <c r="D19" s="377" t="s">
        <v>271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272</v>
      </c>
      <c r="L19" s="377" t="s">
        <v>182</v>
      </c>
      <c r="M19" s="377" t="s">
        <v>178</v>
      </c>
      <c r="N19" s="377" t="s">
        <v>183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51321.8</v>
      </c>
      <c r="U19" s="381">
        <v>0</v>
      </c>
      <c r="V19" s="381">
        <v>20563.57</v>
      </c>
      <c r="W19" s="381">
        <v>63211.199999999997</v>
      </c>
      <c r="X19" s="381">
        <v>25740.82</v>
      </c>
      <c r="Y19" s="381">
        <v>63211.199999999997</v>
      </c>
      <c r="Z19" s="381">
        <v>26453.53</v>
      </c>
      <c r="AA19" s="377" t="s">
        <v>273</v>
      </c>
      <c r="AB19" s="377" t="s">
        <v>274</v>
      </c>
      <c r="AC19" s="377" t="s">
        <v>275</v>
      </c>
      <c r="AD19" s="377" t="s">
        <v>276</v>
      </c>
      <c r="AE19" s="377" t="s">
        <v>272</v>
      </c>
      <c r="AF19" s="377" t="s">
        <v>277</v>
      </c>
      <c r="AG19" s="377" t="s">
        <v>197</v>
      </c>
      <c r="AH19" s="382">
        <v>30.39</v>
      </c>
      <c r="AI19" s="382">
        <v>6004.8</v>
      </c>
      <c r="AJ19" s="377" t="s">
        <v>198</v>
      </c>
      <c r="AK19" s="377" t="s">
        <v>199</v>
      </c>
      <c r="AL19" s="377" t="s">
        <v>174</v>
      </c>
      <c r="AM19" s="377" t="s">
        <v>200</v>
      </c>
      <c r="AN19" s="377" t="s">
        <v>66</v>
      </c>
      <c r="AO19" s="380">
        <v>80</v>
      </c>
      <c r="AP19" s="385">
        <v>1</v>
      </c>
      <c r="AQ19" s="385">
        <v>1</v>
      </c>
      <c r="AR19" s="384" t="s">
        <v>201</v>
      </c>
      <c r="AS19" s="387">
        <f t="shared" si="27"/>
        <v>1</v>
      </c>
      <c r="AT19">
        <f t="shared" si="28"/>
        <v>1</v>
      </c>
      <c r="AU19" s="387">
        <f>IF(AT19=0,"",IF(AND(AT19=1,M19="F",SUMIF(C2:C25,C19,AS2:AS25)&lt;=1),SUMIF(C2:C25,C19,AS2:AS25),IF(AND(AT19=1,M19="F",SUMIF(C2:C25,C19,AS2:AS25)&gt;1),1,"")))</f>
        <v>1</v>
      </c>
      <c r="AV19" s="387" t="str">
        <f>IF(AT19=0,"",IF(AND(AT19=3,M19="F",SUMIF(C2:C25,C19,AS2:AS25)&lt;=1),SUMIF(C2:C25,C19,AS2:AS25),IF(AND(AT19=3,M19="F",SUMIF(C2:C25,C19,AS2:AS25)&gt;1),1,"")))</f>
        <v/>
      </c>
      <c r="AW19" s="387">
        <f>SUMIF(C2:C25,C19,O2:O25)</f>
        <v>1</v>
      </c>
      <c r="AX19" s="387">
        <f>IF(AND(M19="F",AS19&lt;&gt;0),SUMIF(C2:C25,C19,W2:W25),0)</f>
        <v>63211.199999999997</v>
      </c>
      <c r="AY19" s="387">
        <f t="shared" si="29"/>
        <v>63211.199999999997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3919.0944</v>
      </c>
      <c r="BE19" s="387">
        <f t="shared" si="3"/>
        <v>916.56240000000003</v>
      </c>
      <c r="BF19" s="387">
        <f t="shared" si="4"/>
        <v>7547.4172799999997</v>
      </c>
      <c r="BG19" s="387">
        <f t="shared" si="5"/>
        <v>455.75275199999999</v>
      </c>
      <c r="BH19" s="387">
        <f t="shared" si="6"/>
        <v>0</v>
      </c>
      <c r="BI19" s="387">
        <f t="shared" si="7"/>
        <v>193.42627199999998</v>
      </c>
      <c r="BJ19" s="387">
        <f t="shared" si="8"/>
        <v>208.59696</v>
      </c>
      <c r="BK19" s="387">
        <f t="shared" si="9"/>
        <v>0</v>
      </c>
      <c r="BL19" s="387">
        <f t="shared" si="32"/>
        <v>13240.850064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3919.0944</v>
      </c>
      <c r="BQ19" s="387">
        <f t="shared" si="13"/>
        <v>916.56240000000003</v>
      </c>
      <c r="BR19" s="387">
        <f t="shared" si="14"/>
        <v>7067.0121599999993</v>
      </c>
      <c r="BS19" s="387">
        <f t="shared" si="15"/>
        <v>455.75275199999999</v>
      </c>
      <c r="BT19" s="387">
        <f t="shared" si="16"/>
        <v>0</v>
      </c>
      <c r="BU19" s="387">
        <f t="shared" si="17"/>
        <v>193.42627199999998</v>
      </c>
      <c r="BV19" s="387">
        <f t="shared" si="18"/>
        <v>151.70687999999998</v>
      </c>
      <c r="BW19" s="387">
        <f t="shared" si="19"/>
        <v>0</v>
      </c>
      <c r="BX19" s="387">
        <f t="shared" si="34"/>
        <v>12703.554864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-480.40512000000058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-56.890080000000012</v>
      </c>
      <c r="CI19" s="387">
        <f t="shared" si="26"/>
        <v>0</v>
      </c>
      <c r="CJ19" s="387">
        <f t="shared" si="39"/>
        <v>-537.29520000000059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0475-12</v>
      </c>
    </row>
    <row r="20" spans="1:92" ht="15.75" thickBot="1" x14ac:dyDescent="0.3">
      <c r="A20" s="377" t="s">
        <v>162</v>
      </c>
      <c r="B20" s="377" t="s">
        <v>163</v>
      </c>
      <c r="C20" s="377" t="s">
        <v>278</v>
      </c>
      <c r="D20" s="377" t="s">
        <v>207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208</v>
      </c>
      <c r="L20" s="377" t="s">
        <v>174</v>
      </c>
      <c r="M20" s="377" t="s">
        <v>178</v>
      </c>
      <c r="N20" s="377" t="s">
        <v>183</v>
      </c>
      <c r="O20" s="380">
        <v>1</v>
      </c>
      <c r="P20" s="385">
        <v>1</v>
      </c>
      <c r="Q20" s="385">
        <v>1</v>
      </c>
      <c r="R20" s="381">
        <v>80</v>
      </c>
      <c r="S20" s="385">
        <v>1</v>
      </c>
      <c r="T20" s="381">
        <v>49590.92</v>
      </c>
      <c r="U20" s="381">
        <v>0</v>
      </c>
      <c r="V20" s="381">
        <v>19288.91</v>
      </c>
      <c r="W20" s="381">
        <v>79040</v>
      </c>
      <c r="X20" s="381">
        <v>29056.49</v>
      </c>
      <c r="Y20" s="381">
        <v>79040</v>
      </c>
      <c r="Z20" s="381">
        <v>29634.65</v>
      </c>
      <c r="AA20" s="377" t="s">
        <v>279</v>
      </c>
      <c r="AB20" s="377" t="s">
        <v>274</v>
      </c>
      <c r="AC20" s="377" t="s">
        <v>280</v>
      </c>
      <c r="AD20" s="377" t="s">
        <v>281</v>
      </c>
      <c r="AE20" s="377" t="s">
        <v>208</v>
      </c>
      <c r="AF20" s="377" t="s">
        <v>196</v>
      </c>
      <c r="AG20" s="377" t="s">
        <v>197</v>
      </c>
      <c r="AH20" s="380">
        <v>38</v>
      </c>
      <c r="AI20" s="382">
        <v>22517.9</v>
      </c>
      <c r="AJ20" s="377" t="s">
        <v>198</v>
      </c>
      <c r="AK20" s="377" t="s">
        <v>199</v>
      </c>
      <c r="AL20" s="377" t="s">
        <v>174</v>
      </c>
      <c r="AM20" s="377" t="s">
        <v>200</v>
      </c>
      <c r="AN20" s="377" t="s">
        <v>66</v>
      </c>
      <c r="AO20" s="380">
        <v>80</v>
      </c>
      <c r="AP20" s="385">
        <v>1</v>
      </c>
      <c r="AQ20" s="385">
        <v>1</v>
      </c>
      <c r="AR20" s="384" t="s">
        <v>201</v>
      </c>
      <c r="AS20" s="387">
        <f t="shared" si="27"/>
        <v>1</v>
      </c>
      <c r="AT20">
        <f t="shared" si="28"/>
        <v>1</v>
      </c>
      <c r="AU20" s="387">
        <f>IF(AT20=0,"",IF(AND(AT20=1,M20="F",SUMIF(C2:C25,C20,AS2:AS25)&lt;=1),SUMIF(C2:C25,C20,AS2:AS25),IF(AND(AT20=1,M20="F",SUMIF(C2:C25,C20,AS2:AS25)&gt;1),1,"")))</f>
        <v>1</v>
      </c>
      <c r="AV20" s="387" t="str">
        <f>IF(AT20=0,"",IF(AND(AT20=3,M20="F",SUMIF(C2:C25,C20,AS2:AS25)&lt;=1),SUMIF(C2:C25,C20,AS2:AS25),IF(AND(AT20=3,M20="F",SUMIF(C2:C25,C20,AS2:AS25)&gt;1),1,"")))</f>
        <v/>
      </c>
      <c r="AW20" s="387">
        <f>SUMIF(C2:C25,C20,O2:O25)</f>
        <v>1</v>
      </c>
      <c r="AX20" s="387">
        <f>IF(AND(M20="F",AS20&lt;&gt;0),SUMIF(C2:C25,C20,W2:W25),0)</f>
        <v>79040</v>
      </c>
      <c r="AY20" s="387">
        <f t="shared" si="29"/>
        <v>79040</v>
      </c>
      <c r="AZ20" s="387" t="str">
        <f t="shared" si="30"/>
        <v/>
      </c>
      <c r="BA20" s="387">
        <f t="shared" si="31"/>
        <v>0</v>
      </c>
      <c r="BB20" s="387">
        <f t="shared" si="0"/>
        <v>12500</v>
      </c>
      <c r="BC20" s="387">
        <f t="shared" si="1"/>
        <v>0</v>
      </c>
      <c r="BD20" s="387">
        <f t="shared" si="2"/>
        <v>4900.4799999999996</v>
      </c>
      <c r="BE20" s="387">
        <f t="shared" si="3"/>
        <v>1146.0800000000002</v>
      </c>
      <c r="BF20" s="387">
        <f t="shared" si="4"/>
        <v>9437.3760000000002</v>
      </c>
      <c r="BG20" s="387">
        <f t="shared" si="5"/>
        <v>569.87840000000006</v>
      </c>
      <c r="BH20" s="387">
        <f t="shared" si="6"/>
        <v>0</v>
      </c>
      <c r="BI20" s="387">
        <f t="shared" si="7"/>
        <v>241.86239999999998</v>
      </c>
      <c r="BJ20" s="387">
        <f t="shared" si="8"/>
        <v>260.83199999999999</v>
      </c>
      <c r="BK20" s="387">
        <f t="shared" si="9"/>
        <v>0</v>
      </c>
      <c r="BL20" s="387">
        <f t="shared" si="32"/>
        <v>16556.5088</v>
      </c>
      <c r="BM20" s="387">
        <f t="shared" si="33"/>
        <v>0</v>
      </c>
      <c r="BN20" s="387">
        <f t="shared" si="10"/>
        <v>13750</v>
      </c>
      <c r="BO20" s="387">
        <f t="shared" si="11"/>
        <v>0</v>
      </c>
      <c r="BP20" s="387">
        <f t="shared" si="12"/>
        <v>4900.4799999999996</v>
      </c>
      <c r="BQ20" s="387">
        <f t="shared" si="13"/>
        <v>1146.0800000000002</v>
      </c>
      <c r="BR20" s="387">
        <f t="shared" si="14"/>
        <v>8836.6720000000005</v>
      </c>
      <c r="BS20" s="387">
        <f t="shared" si="15"/>
        <v>569.87840000000006</v>
      </c>
      <c r="BT20" s="387">
        <f t="shared" si="16"/>
        <v>0</v>
      </c>
      <c r="BU20" s="387">
        <f t="shared" si="17"/>
        <v>241.86239999999998</v>
      </c>
      <c r="BV20" s="387">
        <f t="shared" si="18"/>
        <v>189.69599999999997</v>
      </c>
      <c r="BW20" s="387">
        <f t="shared" si="19"/>
        <v>0</v>
      </c>
      <c r="BX20" s="387">
        <f t="shared" si="34"/>
        <v>15884.668799999999</v>
      </c>
      <c r="BY20" s="387">
        <f t="shared" si="35"/>
        <v>0</v>
      </c>
      <c r="BZ20" s="387">
        <f t="shared" si="36"/>
        <v>1250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-600.70400000000075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-71.13600000000001</v>
      </c>
      <c r="CI20" s="387">
        <f t="shared" si="26"/>
        <v>0</v>
      </c>
      <c r="CJ20" s="387">
        <f t="shared" si="39"/>
        <v>-671.84000000000071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0475-12</v>
      </c>
    </row>
    <row r="21" spans="1:92" ht="15.75" thickBot="1" x14ac:dyDescent="0.3">
      <c r="A21" s="377" t="s">
        <v>162</v>
      </c>
      <c r="B21" s="377" t="s">
        <v>163</v>
      </c>
      <c r="C21" s="377" t="s">
        <v>282</v>
      </c>
      <c r="D21" s="377" t="s">
        <v>180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181</v>
      </c>
      <c r="L21" s="377" t="s">
        <v>182</v>
      </c>
      <c r="M21" s="377" t="s">
        <v>178</v>
      </c>
      <c r="N21" s="377" t="s">
        <v>183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69546.759999999995</v>
      </c>
      <c r="U21" s="381">
        <v>0</v>
      </c>
      <c r="V21" s="381">
        <v>26335.48</v>
      </c>
      <c r="W21" s="381">
        <v>72758.399999999994</v>
      </c>
      <c r="X21" s="381">
        <v>27740.68</v>
      </c>
      <c r="Y21" s="381">
        <v>72758.399999999994</v>
      </c>
      <c r="Z21" s="381">
        <v>28372.23</v>
      </c>
      <c r="AA21" s="377" t="s">
        <v>283</v>
      </c>
      <c r="AB21" s="377" t="s">
        <v>284</v>
      </c>
      <c r="AC21" s="377" t="s">
        <v>285</v>
      </c>
      <c r="AD21" s="377" t="s">
        <v>286</v>
      </c>
      <c r="AE21" s="377" t="s">
        <v>181</v>
      </c>
      <c r="AF21" s="377" t="s">
        <v>277</v>
      </c>
      <c r="AG21" s="377" t="s">
        <v>197</v>
      </c>
      <c r="AH21" s="382">
        <v>34.979999999999997</v>
      </c>
      <c r="AI21" s="382">
        <v>2914.2</v>
      </c>
      <c r="AJ21" s="377" t="s">
        <v>198</v>
      </c>
      <c r="AK21" s="377" t="s">
        <v>199</v>
      </c>
      <c r="AL21" s="377" t="s">
        <v>174</v>
      </c>
      <c r="AM21" s="377" t="s">
        <v>200</v>
      </c>
      <c r="AN21" s="377" t="s">
        <v>66</v>
      </c>
      <c r="AO21" s="380">
        <v>80</v>
      </c>
      <c r="AP21" s="385">
        <v>1</v>
      </c>
      <c r="AQ21" s="385">
        <v>1</v>
      </c>
      <c r="AR21" s="384" t="s">
        <v>201</v>
      </c>
      <c r="AS21" s="387">
        <f t="shared" si="27"/>
        <v>1</v>
      </c>
      <c r="AT21">
        <f t="shared" si="28"/>
        <v>1</v>
      </c>
      <c r="AU21" s="387">
        <f>IF(AT21=0,"",IF(AND(AT21=1,M21="F",SUMIF(C2:C25,C21,AS2:AS25)&lt;=1),SUMIF(C2:C25,C21,AS2:AS25),IF(AND(AT21=1,M21="F",SUMIF(C2:C25,C21,AS2:AS25)&gt;1),1,"")))</f>
        <v>1</v>
      </c>
      <c r="AV21" s="387" t="str">
        <f>IF(AT21=0,"",IF(AND(AT21=3,M21="F",SUMIF(C2:C25,C21,AS2:AS25)&lt;=1),SUMIF(C2:C25,C21,AS2:AS25),IF(AND(AT21=3,M21="F",SUMIF(C2:C25,C21,AS2:AS25)&gt;1),1,"")))</f>
        <v/>
      </c>
      <c r="AW21" s="387">
        <f>SUMIF(C2:C25,C21,O2:O25)</f>
        <v>1</v>
      </c>
      <c r="AX21" s="387">
        <f>IF(AND(M21="F",AS21&lt;&gt;0),SUMIF(C2:C25,C21,W2:W25),0)</f>
        <v>72758.399999999994</v>
      </c>
      <c r="AY21" s="387">
        <f t="shared" si="29"/>
        <v>72758.399999999994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4511.0207999999993</v>
      </c>
      <c r="BE21" s="387">
        <f t="shared" si="3"/>
        <v>1054.9967999999999</v>
      </c>
      <c r="BF21" s="387">
        <f t="shared" si="4"/>
        <v>8687.3529600000002</v>
      </c>
      <c r="BG21" s="387">
        <f t="shared" si="5"/>
        <v>524.58806400000003</v>
      </c>
      <c r="BH21" s="387">
        <f t="shared" si="6"/>
        <v>0</v>
      </c>
      <c r="BI21" s="387">
        <f t="shared" si="7"/>
        <v>222.64070399999997</v>
      </c>
      <c r="BJ21" s="387">
        <f t="shared" si="8"/>
        <v>240.10271999999998</v>
      </c>
      <c r="BK21" s="387">
        <f t="shared" si="9"/>
        <v>0</v>
      </c>
      <c r="BL21" s="387">
        <f t="shared" si="32"/>
        <v>15240.702047999999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4511.0207999999993</v>
      </c>
      <c r="BQ21" s="387">
        <f t="shared" si="13"/>
        <v>1054.9967999999999</v>
      </c>
      <c r="BR21" s="387">
        <f t="shared" si="14"/>
        <v>8134.3891199999989</v>
      </c>
      <c r="BS21" s="387">
        <f t="shared" si="15"/>
        <v>524.58806400000003</v>
      </c>
      <c r="BT21" s="387">
        <f t="shared" si="16"/>
        <v>0</v>
      </c>
      <c r="BU21" s="387">
        <f t="shared" si="17"/>
        <v>222.64070399999997</v>
      </c>
      <c r="BV21" s="387">
        <f t="shared" si="18"/>
        <v>174.62015999999997</v>
      </c>
      <c r="BW21" s="387">
        <f t="shared" si="19"/>
        <v>0</v>
      </c>
      <c r="BX21" s="387">
        <f t="shared" si="34"/>
        <v>14622.255647999998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-552.96384000000069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-65.482560000000007</v>
      </c>
      <c r="CI21" s="387">
        <f t="shared" si="26"/>
        <v>0</v>
      </c>
      <c r="CJ21" s="387">
        <f t="shared" si="39"/>
        <v>-618.44640000000072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0475-12</v>
      </c>
    </row>
    <row r="22" spans="1:92" ht="15.75" thickBot="1" x14ac:dyDescent="0.3">
      <c r="A22" s="377" t="s">
        <v>162</v>
      </c>
      <c r="B22" s="377" t="s">
        <v>163</v>
      </c>
      <c r="C22" s="377" t="s">
        <v>287</v>
      </c>
      <c r="D22" s="377" t="s">
        <v>190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191</v>
      </c>
      <c r="L22" s="377" t="s">
        <v>174</v>
      </c>
      <c r="M22" s="377" t="s">
        <v>178</v>
      </c>
      <c r="N22" s="377" t="s">
        <v>183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73211.289999999994</v>
      </c>
      <c r="U22" s="381">
        <v>0</v>
      </c>
      <c r="V22" s="381">
        <v>26853.38</v>
      </c>
      <c r="W22" s="381">
        <v>78395.199999999997</v>
      </c>
      <c r="X22" s="381">
        <v>28921.41</v>
      </c>
      <c r="Y22" s="381">
        <v>78395.199999999997</v>
      </c>
      <c r="Z22" s="381">
        <v>29505.05</v>
      </c>
      <c r="AA22" s="377" t="s">
        <v>288</v>
      </c>
      <c r="AB22" s="377" t="s">
        <v>289</v>
      </c>
      <c r="AC22" s="377" t="s">
        <v>290</v>
      </c>
      <c r="AD22" s="377" t="s">
        <v>195</v>
      </c>
      <c r="AE22" s="377" t="s">
        <v>191</v>
      </c>
      <c r="AF22" s="377" t="s">
        <v>196</v>
      </c>
      <c r="AG22" s="377" t="s">
        <v>197</v>
      </c>
      <c r="AH22" s="382">
        <v>37.69</v>
      </c>
      <c r="AI22" s="382">
        <v>17334.7</v>
      </c>
      <c r="AJ22" s="377" t="s">
        <v>198</v>
      </c>
      <c r="AK22" s="377" t="s">
        <v>199</v>
      </c>
      <c r="AL22" s="377" t="s">
        <v>174</v>
      </c>
      <c r="AM22" s="377" t="s">
        <v>200</v>
      </c>
      <c r="AN22" s="377" t="s">
        <v>66</v>
      </c>
      <c r="AO22" s="380">
        <v>80</v>
      </c>
      <c r="AP22" s="385">
        <v>1</v>
      </c>
      <c r="AQ22" s="385">
        <v>1</v>
      </c>
      <c r="AR22" s="384" t="s">
        <v>201</v>
      </c>
      <c r="AS22" s="387">
        <f t="shared" si="27"/>
        <v>1</v>
      </c>
      <c r="AT22">
        <f t="shared" si="28"/>
        <v>1</v>
      </c>
      <c r="AU22" s="387">
        <f>IF(AT22=0,"",IF(AND(AT22=1,M22="F",SUMIF(C2:C25,C22,AS2:AS25)&lt;=1),SUMIF(C2:C25,C22,AS2:AS25),IF(AND(AT22=1,M22="F",SUMIF(C2:C25,C22,AS2:AS25)&gt;1),1,"")))</f>
        <v>1</v>
      </c>
      <c r="AV22" s="387" t="str">
        <f>IF(AT22=0,"",IF(AND(AT22=3,M22="F",SUMIF(C2:C25,C22,AS2:AS25)&lt;=1),SUMIF(C2:C25,C22,AS2:AS25),IF(AND(AT22=3,M22="F",SUMIF(C2:C25,C22,AS2:AS25)&gt;1),1,"")))</f>
        <v/>
      </c>
      <c r="AW22" s="387">
        <f>SUMIF(C2:C25,C22,O2:O25)</f>
        <v>1</v>
      </c>
      <c r="AX22" s="387">
        <f>IF(AND(M22="F",AS22&lt;&gt;0),SUMIF(C2:C25,C22,W2:W25),0)</f>
        <v>78395.199999999997</v>
      </c>
      <c r="AY22" s="387">
        <f t="shared" si="29"/>
        <v>78395.199999999997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4860.5023999999994</v>
      </c>
      <c r="BE22" s="387">
        <f t="shared" si="3"/>
        <v>1136.7303999999999</v>
      </c>
      <c r="BF22" s="387">
        <f t="shared" si="4"/>
        <v>9360.38688</v>
      </c>
      <c r="BG22" s="387">
        <f t="shared" si="5"/>
        <v>565.22939199999996</v>
      </c>
      <c r="BH22" s="387">
        <f t="shared" si="6"/>
        <v>0</v>
      </c>
      <c r="BI22" s="387">
        <f t="shared" si="7"/>
        <v>239.88931199999996</v>
      </c>
      <c r="BJ22" s="387">
        <f t="shared" si="8"/>
        <v>258.70416</v>
      </c>
      <c r="BK22" s="387">
        <f t="shared" si="9"/>
        <v>0</v>
      </c>
      <c r="BL22" s="387">
        <f t="shared" si="32"/>
        <v>16421.442543999998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4860.5023999999994</v>
      </c>
      <c r="BQ22" s="387">
        <f t="shared" si="13"/>
        <v>1136.7303999999999</v>
      </c>
      <c r="BR22" s="387">
        <f t="shared" si="14"/>
        <v>8764.5833599999987</v>
      </c>
      <c r="BS22" s="387">
        <f t="shared" si="15"/>
        <v>565.22939199999996</v>
      </c>
      <c r="BT22" s="387">
        <f t="shared" si="16"/>
        <v>0</v>
      </c>
      <c r="BU22" s="387">
        <f t="shared" si="17"/>
        <v>239.88931199999996</v>
      </c>
      <c r="BV22" s="387">
        <f t="shared" si="18"/>
        <v>188.14847999999998</v>
      </c>
      <c r="BW22" s="387">
        <f t="shared" si="19"/>
        <v>0</v>
      </c>
      <c r="BX22" s="387">
        <f t="shared" si="34"/>
        <v>15755.083343999997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-595.80352000000073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-70.555680000000009</v>
      </c>
      <c r="CI22" s="387">
        <f t="shared" si="26"/>
        <v>0</v>
      </c>
      <c r="CJ22" s="387">
        <f t="shared" si="39"/>
        <v>-666.35920000000078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0475-12</v>
      </c>
    </row>
    <row r="23" spans="1:92" ht="15.75" thickBot="1" x14ac:dyDescent="0.3">
      <c r="A23" s="377" t="s">
        <v>162</v>
      </c>
      <c r="B23" s="377" t="s">
        <v>163</v>
      </c>
      <c r="C23" s="377" t="s">
        <v>291</v>
      </c>
      <c r="D23" s="377" t="s">
        <v>292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293</v>
      </c>
      <c r="L23" s="377" t="s">
        <v>171</v>
      </c>
      <c r="M23" s="377" t="s">
        <v>178</v>
      </c>
      <c r="N23" s="377" t="s">
        <v>294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151526.39999999999</v>
      </c>
      <c r="U23" s="381">
        <v>0</v>
      </c>
      <c r="V23" s="381">
        <v>42728.78</v>
      </c>
      <c r="W23" s="381">
        <v>158662.39999999999</v>
      </c>
      <c r="X23" s="381">
        <v>44266.02</v>
      </c>
      <c r="Y23" s="381">
        <v>158662.39999999999</v>
      </c>
      <c r="Z23" s="381">
        <v>44427.78</v>
      </c>
      <c r="AA23" s="377" t="s">
        <v>295</v>
      </c>
      <c r="AB23" s="377" t="s">
        <v>296</v>
      </c>
      <c r="AC23" s="377" t="s">
        <v>297</v>
      </c>
      <c r="AD23" s="377" t="s">
        <v>298</v>
      </c>
      <c r="AE23" s="377" t="s">
        <v>293</v>
      </c>
      <c r="AF23" s="377" t="s">
        <v>299</v>
      </c>
      <c r="AG23" s="377" t="s">
        <v>197</v>
      </c>
      <c r="AH23" s="382">
        <v>76.28</v>
      </c>
      <c r="AI23" s="382">
        <v>40013.699999999997</v>
      </c>
      <c r="AJ23" s="377" t="s">
        <v>198</v>
      </c>
      <c r="AK23" s="377" t="s">
        <v>199</v>
      </c>
      <c r="AL23" s="377" t="s">
        <v>174</v>
      </c>
      <c r="AM23" s="377" t="s">
        <v>174</v>
      </c>
      <c r="AN23" s="377" t="s">
        <v>66</v>
      </c>
      <c r="AO23" s="380">
        <v>80</v>
      </c>
      <c r="AP23" s="385">
        <v>1</v>
      </c>
      <c r="AQ23" s="385">
        <v>1</v>
      </c>
      <c r="AR23" s="384" t="s">
        <v>201</v>
      </c>
      <c r="AS23" s="387">
        <f t="shared" si="27"/>
        <v>1</v>
      </c>
      <c r="AT23">
        <f t="shared" si="28"/>
        <v>1</v>
      </c>
      <c r="AU23" s="387">
        <f>IF(AT23=0,"",IF(AND(AT23=1,M23="F",SUMIF(C2:C25,C23,AS2:AS25)&lt;=1),SUMIF(C2:C25,C23,AS2:AS25),IF(AND(AT23=1,M23="F",SUMIF(C2:C25,C23,AS2:AS25)&gt;1),1,"")))</f>
        <v>1</v>
      </c>
      <c r="AV23" s="387" t="str">
        <f>IF(AT23=0,"",IF(AND(AT23=3,M23="F",SUMIF(C2:C25,C23,AS2:AS25)&lt;=1),SUMIF(C2:C25,C23,AS2:AS25),IF(AND(AT23=3,M23="F",SUMIF(C2:C25,C23,AS2:AS25)&gt;1),1,"")))</f>
        <v/>
      </c>
      <c r="AW23" s="387">
        <f>SUMIF(C2:C25,C23,O2:O25)</f>
        <v>1</v>
      </c>
      <c r="AX23" s="387">
        <f>IF(AND(M23="F",AS23&lt;&gt;0),SUMIF(C2:C25,C23,W2:W25),0)</f>
        <v>158662.39999999999</v>
      </c>
      <c r="AY23" s="387">
        <f t="shared" si="29"/>
        <v>158662.39999999999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8853.6</v>
      </c>
      <c r="BE23" s="387">
        <f t="shared" si="3"/>
        <v>2300.6048000000001</v>
      </c>
      <c r="BF23" s="387">
        <f t="shared" si="4"/>
        <v>18944.290560000001</v>
      </c>
      <c r="BG23" s="387">
        <f t="shared" si="5"/>
        <v>1143.9559039999999</v>
      </c>
      <c r="BH23" s="387">
        <f t="shared" si="6"/>
        <v>0</v>
      </c>
      <c r="BI23" s="387">
        <f t="shared" si="7"/>
        <v>0</v>
      </c>
      <c r="BJ23" s="387">
        <f t="shared" si="8"/>
        <v>523.58591999999999</v>
      </c>
      <c r="BK23" s="387">
        <f t="shared" si="9"/>
        <v>0</v>
      </c>
      <c r="BL23" s="387">
        <f t="shared" si="32"/>
        <v>31766.037184000001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9114</v>
      </c>
      <c r="BQ23" s="387">
        <f t="shared" si="13"/>
        <v>2300.6048000000001</v>
      </c>
      <c r="BR23" s="387">
        <f t="shared" si="14"/>
        <v>17738.456319999998</v>
      </c>
      <c r="BS23" s="387">
        <f t="shared" si="15"/>
        <v>1143.9559039999999</v>
      </c>
      <c r="BT23" s="387">
        <f t="shared" si="16"/>
        <v>0</v>
      </c>
      <c r="BU23" s="387">
        <f t="shared" si="17"/>
        <v>0</v>
      </c>
      <c r="BV23" s="387">
        <f t="shared" si="18"/>
        <v>380.78975999999994</v>
      </c>
      <c r="BW23" s="387">
        <f t="shared" si="19"/>
        <v>0</v>
      </c>
      <c r="BX23" s="387">
        <f t="shared" si="34"/>
        <v>30677.806783999997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260.39999999999964</v>
      </c>
      <c r="CC23" s="387">
        <f t="shared" si="20"/>
        <v>0</v>
      </c>
      <c r="CD23" s="387">
        <f t="shared" si="21"/>
        <v>-1205.8342400000015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-142.79616000000001</v>
      </c>
      <c r="CI23" s="387">
        <f t="shared" si="26"/>
        <v>0</v>
      </c>
      <c r="CJ23" s="387">
        <f t="shared" si="39"/>
        <v>-1088.230400000002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0475-12</v>
      </c>
    </row>
    <row r="24" spans="1:92" ht="15.75" thickBot="1" x14ac:dyDescent="0.3">
      <c r="A24" s="377" t="s">
        <v>162</v>
      </c>
      <c r="B24" s="377" t="s">
        <v>163</v>
      </c>
      <c r="C24" s="377" t="s">
        <v>300</v>
      </c>
      <c r="D24" s="377" t="s">
        <v>301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302</v>
      </c>
      <c r="L24" s="377" t="s">
        <v>174</v>
      </c>
      <c r="M24" s="377" t="s">
        <v>178</v>
      </c>
      <c r="N24" s="377" t="s">
        <v>183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57689.63</v>
      </c>
      <c r="U24" s="381">
        <v>0</v>
      </c>
      <c r="V24" s="381">
        <v>21821.66</v>
      </c>
      <c r="W24" s="381">
        <v>76440</v>
      </c>
      <c r="X24" s="381">
        <v>28511.87</v>
      </c>
      <c r="Y24" s="381">
        <v>76440</v>
      </c>
      <c r="Z24" s="381">
        <v>29112.13</v>
      </c>
      <c r="AA24" s="377" t="s">
        <v>303</v>
      </c>
      <c r="AB24" s="377" t="s">
        <v>304</v>
      </c>
      <c r="AC24" s="377" t="s">
        <v>305</v>
      </c>
      <c r="AD24" s="377" t="s">
        <v>306</v>
      </c>
      <c r="AE24" s="377" t="s">
        <v>302</v>
      </c>
      <c r="AF24" s="377" t="s">
        <v>196</v>
      </c>
      <c r="AG24" s="377" t="s">
        <v>197</v>
      </c>
      <c r="AH24" s="382">
        <v>36.75</v>
      </c>
      <c r="AI24" s="382">
        <v>98.3</v>
      </c>
      <c r="AJ24" s="377" t="s">
        <v>198</v>
      </c>
      <c r="AK24" s="377" t="s">
        <v>199</v>
      </c>
      <c r="AL24" s="377" t="s">
        <v>174</v>
      </c>
      <c r="AM24" s="377" t="s">
        <v>200</v>
      </c>
      <c r="AN24" s="377" t="s">
        <v>66</v>
      </c>
      <c r="AO24" s="380">
        <v>80</v>
      </c>
      <c r="AP24" s="385">
        <v>1</v>
      </c>
      <c r="AQ24" s="385">
        <v>1</v>
      </c>
      <c r="AR24" s="384" t="s">
        <v>201</v>
      </c>
      <c r="AS24" s="387">
        <f t="shared" si="27"/>
        <v>1</v>
      </c>
      <c r="AT24">
        <f t="shared" si="28"/>
        <v>1</v>
      </c>
      <c r="AU24" s="387">
        <f>IF(AT24=0,"",IF(AND(AT24=1,M24="F",SUMIF(C2:C25,C24,AS2:AS25)&lt;=1),SUMIF(C2:C25,C24,AS2:AS25),IF(AND(AT24=1,M24="F",SUMIF(C2:C25,C24,AS2:AS25)&gt;1),1,"")))</f>
        <v>1</v>
      </c>
      <c r="AV24" s="387" t="str">
        <f>IF(AT24=0,"",IF(AND(AT24=3,M24="F",SUMIF(C2:C25,C24,AS2:AS25)&lt;=1),SUMIF(C2:C25,C24,AS2:AS25),IF(AND(AT24=3,M24="F",SUMIF(C2:C25,C24,AS2:AS25)&gt;1),1,"")))</f>
        <v/>
      </c>
      <c r="AW24" s="387">
        <f>SUMIF(C2:C25,C24,O2:O25)</f>
        <v>1</v>
      </c>
      <c r="AX24" s="387">
        <f>IF(AND(M24="F",AS24&lt;&gt;0),SUMIF(C2:C25,C24,W2:W25),0)</f>
        <v>76440</v>
      </c>
      <c r="AY24" s="387">
        <f t="shared" si="29"/>
        <v>76440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4739.28</v>
      </c>
      <c r="BE24" s="387">
        <f t="shared" si="3"/>
        <v>1108.3800000000001</v>
      </c>
      <c r="BF24" s="387">
        <f t="shared" si="4"/>
        <v>9126.9359999999997</v>
      </c>
      <c r="BG24" s="387">
        <f t="shared" si="5"/>
        <v>551.13240000000008</v>
      </c>
      <c r="BH24" s="387">
        <f t="shared" si="6"/>
        <v>0</v>
      </c>
      <c r="BI24" s="387">
        <f t="shared" si="7"/>
        <v>233.90639999999999</v>
      </c>
      <c r="BJ24" s="387">
        <f t="shared" si="8"/>
        <v>252.25200000000001</v>
      </c>
      <c r="BK24" s="387">
        <f t="shared" si="9"/>
        <v>0</v>
      </c>
      <c r="BL24" s="387">
        <f t="shared" si="32"/>
        <v>16011.8868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4739.28</v>
      </c>
      <c r="BQ24" s="387">
        <f t="shared" si="13"/>
        <v>1108.3800000000001</v>
      </c>
      <c r="BR24" s="387">
        <f t="shared" si="14"/>
        <v>8545.9920000000002</v>
      </c>
      <c r="BS24" s="387">
        <f t="shared" si="15"/>
        <v>551.13240000000008</v>
      </c>
      <c r="BT24" s="387">
        <f t="shared" si="16"/>
        <v>0</v>
      </c>
      <c r="BU24" s="387">
        <f t="shared" si="17"/>
        <v>233.90639999999999</v>
      </c>
      <c r="BV24" s="387">
        <f t="shared" si="18"/>
        <v>183.45599999999999</v>
      </c>
      <c r="BW24" s="387">
        <f t="shared" si="19"/>
        <v>0</v>
      </c>
      <c r="BX24" s="387">
        <f t="shared" si="34"/>
        <v>15362.1468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-580.94400000000076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-68.796000000000021</v>
      </c>
      <c r="CI24" s="387">
        <f t="shared" si="26"/>
        <v>0</v>
      </c>
      <c r="CJ24" s="387">
        <f t="shared" si="39"/>
        <v>-649.7400000000008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0475-12</v>
      </c>
    </row>
    <row r="25" spans="1:92" ht="15.75" thickBot="1" x14ac:dyDescent="0.3">
      <c r="A25" s="377" t="s">
        <v>162</v>
      </c>
      <c r="B25" s="377" t="s">
        <v>163</v>
      </c>
      <c r="C25" s="377" t="s">
        <v>307</v>
      </c>
      <c r="D25" s="377" t="s">
        <v>308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309</v>
      </c>
      <c r="L25" s="377" t="s">
        <v>310</v>
      </c>
      <c r="M25" s="377" t="s">
        <v>178</v>
      </c>
      <c r="N25" s="377" t="s">
        <v>183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41768.93</v>
      </c>
      <c r="U25" s="381">
        <v>6.83</v>
      </c>
      <c r="V25" s="381">
        <v>20463.62</v>
      </c>
      <c r="W25" s="381">
        <v>45448</v>
      </c>
      <c r="X25" s="381">
        <v>22019.97</v>
      </c>
      <c r="Y25" s="381">
        <v>45448</v>
      </c>
      <c r="Z25" s="381">
        <v>22883.66</v>
      </c>
      <c r="AA25" s="377" t="s">
        <v>311</v>
      </c>
      <c r="AB25" s="377" t="s">
        <v>312</v>
      </c>
      <c r="AC25" s="377" t="s">
        <v>313</v>
      </c>
      <c r="AD25" s="377" t="s">
        <v>314</v>
      </c>
      <c r="AE25" s="377" t="s">
        <v>309</v>
      </c>
      <c r="AF25" s="377" t="s">
        <v>315</v>
      </c>
      <c r="AG25" s="377" t="s">
        <v>197</v>
      </c>
      <c r="AH25" s="382">
        <v>21.85</v>
      </c>
      <c r="AI25" s="382">
        <v>1957.2</v>
      </c>
      <c r="AJ25" s="377" t="s">
        <v>198</v>
      </c>
      <c r="AK25" s="377" t="s">
        <v>199</v>
      </c>
      <c r="AL25" s="377" t="s">
        <v>174</v>
      </c>
      <c r="AM25" s="377" t="s">
        <v>200</v>
      </c>
      <c r="AN25" s="377" t="s">
        <v>66</v>
      </c>
      <c r="AO25" s="380">
        <v>80</v>
      </c>
      <c r="AP25" s="385">
        <v>1</v>
      </c>
      <c r="AQ25" s="385">
        <v>1</v>
      </c>
      <c r="AR25" s="384" t="s">
        <v>201</v>
      </c>
      <c r="AS25" s="387">
        <f t="shared" si="27"/>
        <v>1</v>
      </c>
      <c r="AT25">
        <f t="shared" si="28"/>
        <v>1</v>
      </c>
      <c r="AU25" s="387">
        <f>IF(AT25=0,"",IF(AND(AT25=1,M25="F",SUMIF(C2:C25,C25,AS2:AS25)&lt;=1),SUMIF(C2:C25,C25,AS2:AS25),IF(AND(AT25=1,M25="F",SUMIF(C2:C25,C25,AS2:AS25)&gt;1),1,"")))</f>
        <v>1</v>
      </c>
      <c r="AV25" s="387" t="str">
        <f>IF(AT25=0,"",IF(AND(AT25=3,M25="F",SUMIF(C2:C25,C25,AS2:AS25)&lt;=1),SUMIF(C2:C25,C25,AS2:AS25),IF(AND(AT25=3,M25="F",SUMIF(C2:C25,C25,AS2:AS25)&gt;1),1,"")))</f>
        <v/>
      </c>
      <c r="AW25" s="387">
        <f>SUMIF(C2:C25,C25,O2:O25)</f>
        <v>1</v>
      </c>
      <c r="AX25" s="387">
        <f>IF(AND(M25="F",AS25&lt;&gt;0),SUMIF(C2:C25,C25,W2:W25),0)</f>
        <v>45448</v>
      </c>
      <c r="AY25" s="387">
        <f t="shared" si="29"/>
        <v>45448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2817.7759999999998</v>
      </c>
      <c r="BE25" s="387">
        <f t="shared" si="3"/>
        <v>658.99599999999998</v>
      </c>
      <c r="BF25" s="387">
        <f t="shared" si="4"/>
        <v>5426.4912000000004</v>
      </c>
      <c r="BG25" s="387">
        <f t="shared" si="5"/>
        <v>327.68008000000003</v>
      </c>
      <c r="BH25" s="387">
        <f t="shared" si="6"/>
        <v>0</v>
      </c>
      <c r="BI25" s="387">
        <f t="shared" si="7"/>
        <v>139.07087999999999</v>
      </c>
      <c r="BJ25" s="387">
        <f t="shared" si="8"/>
        <v>149.97839999999999</v>
      </c>
      <c r="BK25" s="387">
        <f t="shared" si="9"/>
        <v>0</v>
      </c>
      <c r="BL25" s="387">
        <f t="shared" si="32"/>
        <v>9519.9925600000006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2817.7759999999998</v>
      </c>
      <c r="BQ25" s="387">
        <f t="shared" si="13"/>
        <v>658.99599999999998</v>
      </c>
      <c r="BR25" s="387">
        <f t="shared" si="14"/>
        <v>5081.0864000000001</v>
      </c>
      <c r="BS25" s="387">
        <f t="shared" si="15"/>
        <v>327.68008000000003</v>
      </c>
      <c r="BT25" s="387">
        <f t="shared" si="16"/>
        <v>0</v>
      </c>
      <c r="BU25" s="387">
        <f t="shared" si="17"/>
        <v>139.07087999999999</v>
      </c>
      <c r="BV25" s="387">
        <f t="shared" si="18"/>
        <v>109.0752</v>
      </c>
      <c r="BW25" s="387">
        <f t="shared" si="19"/>
        <v>0</v>
      </c>
      <c r="BX25" s="387">
        <f t="shared" si="34"/>
        <v>9133.6845599999997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-345.40480000000042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-40.903200000000005</v>
      </c>
      <c r="CI25" s="387">
        <f t="shared" si="26"/>
        <v>0</v>
      </c>
      <c r="CJ25" s="387">
        <f t="shared" si="39"/>
        <v>-386.30800000000045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0475-12</v>
      </c>
    </row>
    <row r="27" spans="1:92" ht="21" x14ac:dyDescent="0.35">
      <c r="AQ27" s="251" t="s">
        <v>371</v>
      </c>
    </row>
    <row r="28" spans="1:92" ht="15.75" thickBot="1" x14ac:dyDescent="0.3">
      <c r="AR28" t="s">
        <v>364</v>
      </c>
      <c r="AS28" s="387">
        <f>SUMIFS(AS2:AS25,G2:G25,"GVHR",E2:E25,"0475",F2:F25,"12",AT2:AT25,1)</f>
        <v>18</v>
      </c>
      <c r="AT28" s="387">
        <f>SUMIFS(AS2:AS25,G2:G25,"GVHR",E2:E25,"0475",F2:F25,"12",AT2:AT25,3)</f>
        <v>0</v>
      </c>
      <c r="AU28" s="387">
        <f>SUMIFS(AU2:AU25,G2:G25,"GVHR",E2:E25,"0475",F2:F25,"12")</f>
        <v>18</v>
      </c>
      <c r="AV28" s="387">
        <f>SUMIFS(AV2:AV25,G2:G25,"GVHR",E2:E25,"0475",F2:F25,"12")</f>
        <v>0</v>
      </c>
      <c r="AW28" s="387">
        <f>SUMIFS(AW2:AW25,G2:G25,"GVHR",E2:E25,"0475",F2:F25,"12")</f>
        <v>18</v>
      </c>
      <c r="AX28" s="387">
        <f>SUMIFS(AX2:AX25,G2:G25,"GVHR",E2:E25,"0475",F2:F25,"12")</f>
        <v>1491859.1999999997</v>
      </c>
      <c r="AY28" s="387">
        <f>SUMIFS(AY2:AY25,G2:G25,"GVHR",E2:E25,"0475",F2:F25,"12")</f>
        <v>1491859.1999999997</v>
      </c>
      <c r="AZ28" s="387">
        <f>SUMIFS(AZ2:AZ25,G2:G25,"GVHR",E2:E25,"0475",F2:F25,"12")</f>
        <v>0</v>
      </c>
      <c r="BA28" s="387">
        <f>SUMIFS(BA2:BA25,G2:G25,"GVHR",E2:E25,"0475",F2:F25,"12")</f>
        <v>0</v>
      </c>
      <c r="BB28" s="387">
        <f>SUMIFS(BB2:BB25,G2:G25,"GVHR",E2:E25,"0475",F2:F25,"12")</f>
        <v>225000</v>
      </c>
      <c r="BC28" s="387">
        <f>SUMIFS(BC2:BC25,G2:G25,"GVHR",E2:E25,"0475",F2:F25,"12")</f>
        <v>0</v>
      </c>
      <c r="BD28" s="387">
        <f>SUMIFS(BD2:BD25,G2:G25,"GVHR",E2:E25,"0475",F2:F25,"12")</f>
        <v>91511.801599999992</v>
      </c>
      <c r="BE28" s="387">
        <f>SUMIFS(BE2:BE25,G2:G25,"GVHR",E2:E25,"0475",F2:F25,"12")</f>
        <v>21631.958400000003</v>
      </c>
      <c r="BF28" s="387">
        <f>SUMIFS(BF2:BF25,G2:G25,"GVHR",E2:E25,"0475",F2:F25,"12")</f>
        <v>178127.98847999997</v>
      </c>
      <c r="BG28" s="387">
        <f>SUMIFS(BG2:BG25,G2:G25,"GVHR",E2:E25,"0475",F2:F25,"12")</f>
        <v>10756.304832000002</v>
      </c>
      <c r="BH28" s="387">
        <f>SUMIFS(BH2:BH25,G2:G25,"GVHR",E2:E25,"0475",F2:F25,"12")</f>
        <v>0</v>
      </c>
      <c r="BI28" s="387">
        <f>SUMIFS(BI2:BI25,G2:G25,"GVHR",E2:E25,"0475",F2:F25,"12")</f>
        <v>4079.5822079999989</v>
      </c>
      <c r="BJ28" s="387">
        <f>SUMIFS(BJ2:BJ25,G2:G25,"GVHR",E2:E25,"0475",F2:F25,"12")</f>
        <v>4923.1353600000002</v>
      </c>
      <c r="BK28" s="387">
        <f>SUMIFS(BK2:BK25,G2:G25,"GVHR",E2:E25,"0475",F2:F25,"12")</f>
        <v>0</v>
      </c>
      <c r="BL28" s="387">
        <f>SUMIFS(BL2:BL25,G2:G25,"GVHR",E2:E25,"0475",F2:F25,"12")</f>
        <v>311030.77087999997</v>
      </c>
      <c r="BM28" s="387">
        <f>SUMIFS(BM2:BM25,G2:G25,"GVHR",E2:E25,"0475",F2:F25,"12")</f>
        <v>0</v>
      </c>
      <c r="BN28" s="387">
        <f>SUMIFS(BN2:BN25,G2:G25,"GVHR",E2:E25,"0475",F2:F25,"12")</f>
        <v>247500</v>
      </c>
      <c r="BO28" s="387">
        <f>SUMIFS(BO2:BO25,G2:G25,"GVHR",E2:E25,"0475",F2:F25,"12")</f>
        <v>0</v>
      </c>
      <c r="BP28" s="387">
        <f>SUMIFS(BP2:BP25,G2:G25,"GVHR",E2:E25,"0475",F2:F25,"12")</f>
        <v>91772.201599999986</v>
      </c>
      <c r="BQ28" s="387">
        <f>SUMIFS(BQ2:BQ25,G2:G25,"GVHR",E2:E25,"0475",F2:F25,"12")</f>
        <v>21631.958400000003</v>
      </c>
      <c r="BR28" s="387">
        <f>SUMIFS(BR2:BR25,G2:G25,"GVHR",E2:E25,"0475",F2:F25,"12")</f>
        <v>166789.85855999999</v>
      </c>
      <c r="BS28" s="387">
        <f>SUMIFS(BS2:BS25,G2:G25,"GVHR",E2:E25,"0475",F2:F25,"12")</f>
        <v>10756.304832000002</v>
      </c>
      <c r="BT28" s="387">
        <f>SUMIFS(BT2:BT25,G2:G25,"GVHR",E2:E25,"0475",F2:F25,"12")</f>
        <v>0</v>
      </c>
      <c r="BU28" s="387">
        <f>SUMIFS(BU2:BU25,G2:G25,"GVHR",E2:E25,"0475",F2:F25,"12")</f>
        <v>4079.5822079999989</v>
      </c>
      <c r="BV28" s="387">
        <f>SUMIFS(BV2:BV25,G2:G25,"GVHR",E2:E25,"0475",F2:F25,"12")</f>
        <v>3580.4620800000002</v>
      </c>
      <c r="BW28" s="387">
        <f>SUMIFS(BW2:BW25,G2:G25,"GVHR",E2:E25,"0475",F2:F25,"12")</f>
        <v>0</v>
      </c>
      <c r="BX28" s="387">
        <f>SUMIFS(BX2:BX25,G2:G25,"GVHR",E2:E25,"0475",F2:F25,"12")</f>
        <v>298610.36768000002</v>
      </c>
      <c r="BY28" s="387">
        <f>SUMIFS(BY2:BY25,G2:G25,"GVHR",E2:E25,"0475",F2:F25,"12")</f>
        <v>0</v>
      </c>
      <c r="BZ28" s="387">
        <f>SUMIFS(BZ2:BZ25,G2:G25,"GVHR",E2:E25,"0475",F2:F25,"12")</f>
        <v>22500</v>
      </c>
      <c r="CA28" s="387">
        <f>SUMIFS(CA2:CA25,G2:G25,"GVHR",E2:E25,"0475",F2:F25,"12")</f>
        <v>0</v>
      </c>
      <c r="CB28" s="387">
        <f>SUMIFS(CB2:CB25,G2:G25,"GVHR",E2:E25,"0475",F2:F25,"12")</f>
        <v>260.39999999999964</v>
      </c>
      <c r="CC28" s="387">
        <f>SUMIFS(CC2:CC25,G2:G25,"GVHR",E2:E25,"0475",F2:F25,"12")</f>
        <v>0</v>
      </c>
      <c r="CD28" s="387">
        <f>SUMIFS(CD2:CD25,G2:G25,"GVHR",E2:E25,"0475",F2:F25,"12")</f>
        <v>-11338.129920000016</v>
      </c>
      <c r="CE28" s="387">
        <f>SUMIFS(CE2:CE25,G2:G25,"GVHR",E2:E25,"0475",F2:F25,"12")</f>
        <v>0</v>
      </c>
      <c r="CF28" s="387">
        <f>SUMIFS(CF2:CF25,G2:G25,"GVHR",E2:E25,"0475",F2:F25,"12")</f>
        <v>0</v>
      </c>
      <c r="CG28" s="387">
        <f>SUMIFS(CG2:CG25,G2:G25,"GVHR",E2:E25,"0475",F2:F25,"12")</f>
        <v>0</v>
      </c>
      <c r="CH28" s="387">
        <f>SUMIFS(CH2:CH25,G2:G25,"GVHR",E2:E25,"0475",F2:F25,"12")</f>
        <v>-1342.6732800000002</v>
      </c>
      <c r="CI28" s="387">
        <f>SUMIFS(CI2:CI25,G2:G25,"GVHR",E2:E25,"0475",F2:F25,"12")</f>
        <v>0</v>
      </c>
      <c r="CJ28" s="387">
        <f>SUMIFS(CJ2:CJ25,G2:G25,"GVHR",E2:E25,"0475",F2:F25,"12")</f>
        <v>-12420.403200000017</v>
      </c>
      <c r="CK28" s="387">
        <f>SUMIFS(CK2:CK25,G2:G25,"GVHR",E2:E25,"0475",F2:F25,"12")</f>
        <v>0</v>
      </c>
      <c r="CL28" s="387">
        <f>SUMIFS(CL2:CL25,G2:G25,"GVHR",E2:E25,"0475",F2:F25,"12")</f>
        <v>0</v>
      </c>
      <c r="CM28" s="387">
        <f>SUMIFS(CM2:CM25,G2:G25,"GVHR",E2:E25,"0475",F2:F25,"12")</f>
        <v>0</v>
      </c>
    </row>
    <row r="29" spans="1:92" ht="18.75" x14ac:dyDescent="0.3">
      <c r="AQ29" s="393" t="s">
        <v>365</v>
      </c>
      <c r="AS29" s="394">
        <f t="shared" ref="AS29:CM29" si="44">SUM(AS28:AS28)</f>
        <v>18</v>
      </c>
      <c r="AT29" s="394">
        <f t="shared" si="44"/>
        <v>0</v>
      </c>
      <c r="AU29" s="394">
        <f t="shared" si="44"/>
        <v>18</v>
      </c>
      <c r="AV29" s="394">
        <f t="shared" si="44"/>
        <v>0</v>
      </c>
      <c r="AW29" s="394">
        <f t="shared" si="44"/>
        <v>18</v>
      </c>
      <c r="AX29" s="394">
        <f t="shared" si="44"/>
        <v>1491859.1999999997</v>
      </c>
      <c r="AY29" s="394">
        <f t="shared" si="44"/>
        <v>1491859.1999999997</v>
      </c>
      <c r="AZ29" s="394">
        <f t="shared" si="44"/>
        <v>0</v>
      </c>
      <c r="BA29" s="394">
        <f t="shared" si="44"/>
        <v>0</v>
      </c>
      <c r="BB29" s="394">
        <f t="shared" si="44"/>
        <v>225000</v>
      </c>
      <c r="BC29" s="394">
        <f t="shared" si="44"/>
        <v>0</v>
      </c>
      <c r="BD29" s="394">
        <f t="shared" si="44"/>
        <v>91511.801599999992</v>
      </c>
      <c r="BE29" s="394">
        <f t="shared" si="44"/>
        <v>21631.958400000003</v>
      </c>
      <c r="BF29" s="394">
        <f t="shared" si="44"/>
        <v>178127.98847999997</v>
      </c>
      <c r="BG29" s="394">
        <f t="shared" si="44"/>
        <v>10756.304832000002</v>
      </c>
      <c r="BH29" s="394">
        <f t="shared" si="44"/>
        <v>0</v>
      </c>
      <c r="BI29" s="394">
        <f t="shared" si="44"/>
        <v>4079.5822079999989</v>
      </c>
      <c r="BJ29" s="394">
        <f t="shared" si="44"/>
        <v>4923.1353600000002</v>
      </c>
      <c r="BK29" s="394">
        <f t="shared" si="44"/>
        <v>0</v>
      </c>
      <c r="BL29" s="394">
        <f t="shared" si="44"/>
        <v>311030.77087999997</v>
      </c>
      <c r="BM29" s="394">
        <f t="shared" si="44"/>
        <v>0</v>
      </c>
      <c r="BN29" s="394">
        <f t="shared" si="44"/>
        <v>247500</v>
      </c>
      <c r="BO29" s="394">
        <f t="shared" si="44"/>
        <v>0</v>
      </c>
      <c r="BP29" s="394">
        <f t="shared" si="44"/>
        <v>91772.201599999986</v>
      </c>
      <c r="BQ29" s="394">
        <f t="shared" si="44"/>
        <v>21631.958400000003</v>
      </c>
      <c r="BR29" s="394">
        <f t="shared" si="44"/>
        <v>166789.85855999999</v>
      </c>
      <c r="BS29" s="394">
        <f t="shared" si="44"/>
        <v>10756.304832000002</v>
      </c>
      <c r="BT29" s="394">
        <f t="shared" si="44"/>
        <v>0</v>
      </c>
      <c r="BU29" s="394">
        <f t="shared" si="44"/>
        <v>4079.5822079999989</v>
      </c>
      <c r="BV29" s="394">
        <f t="shared" si="44"/>
        <v>3580.4620800000002</v>
      </c>
      <c r="BW29" s="394">
        <f t="shared" si="44"/>
        <v>0</v>
      </c>
      <c r="BX29" s="394">
        <f t="shared" si="44"/>
        <v>298610.36768000002</v>
      </c>
      <c r="BY29" s="394">
        <f t="shared" si="44"/>
        <v>0</v>
      </c>
      <c r="BZ29" s="394">
        <f t="shared" si="44"/>
        <v>22500</v>
      </c>
      <c r="CA29" s="394">
        <f t="shared" si="44"/>
        <v>0</v>
      </c>
      <c r="CB29" s="394">
        <f t="shared" si="44"/>
        <v>260.39999999999964</v>
      </c>
      <c r="CC29" s="394">
        <f t="shared" si="44"/>
        <v>0</v>
      </c>
      <c r="CD29" s="394">
        <f t="shared" si="44"/>
        <v>-11338.129920000016</v>
      </c>
      <c r="CE29" s="394">
        <f t="shared" si="44"/>
        <v>0</v>
      </c>
      <c r="CF29" s="394">
        <f t="shared" si="44"/>
        <v>0</v>
      </c>
      <c r="CG29" s="394">
        <f t="shared" si="44"/>
        <v>0</v>
      </c>
      <c r="CH29" s="394">
        <f t="shared" si="44"/>
        <v>-1342.6732800000002</v>
      </c>
      <c r="CI29" s="394">
        <f t="shared" si="44"/>
        <v>0</v>
      </c>
      <c r="CJ29" s="394">
        <f t="shared" si="44"/>
        <v>-12420.403200000017</v>
      </c>
      <c r="CK29" s="394">
        <f t="shared" si="44"/>
        <v>0</v>
      </c>
      <c r="CL29" s="394">
        <f t="shared" si="44"/>
        <v>0</v>
      </c>
      <c r="CM29" s="394">
        <f t="shared" si="44"/>
        <v>0</v>
      </c>
    </row>
    <row r="31" spans="1:92" ht="21" x14ac:dyDescent="0.35">
      <c r="AO31" s="251" t="s">
        <v>95</v>
      </c>
      <c r="AP31" s="251"/>
      <c r="AQ31" s="251"/>
    </row>
    <row r="33" spans="41:85" ht="21" x14ac:dyDescent="0.35">
      <c r="AO33" s="252"/>
      <c r="AP33" s="252"/>
      <c r="AQ33" s="252"/>
    </row>
    <row r="34" spans="41:85" ht="15.75" x14ac:dyDescent="0.25">
      <c r="AS34" s="374" t="s">
        <v>81</v>
      </c>
      <c r="AT34" s="477" t="s">
        <v>374</v>
      </c>
      <c r="AU34" s="477"/>
      <c r="AV34" s="478" t="s">
        <v>372</v>
      </c>
      <c r="AW34" s="477" t="s">
        <v>375</v>
      </c>
      <c r="AX34" s="477"/>
      <c r="AY34" s="478" t="s">
        <v>373</v>
      </c>
      <c r="AZ34" s="477" t="s">
        <v>376</v>
      </c>
      <c r="BA34" s="477"/>
    </row>
    <row r="35" spans="41:85" ht="15.75" x14ac:dyDescent="0.25">
      <c r="AS35" s="249"/>
      <c r="AT35" s="374" t="s">
        <v>92</v>
      </c>
      <c r="AU35" s="373" t="s">
        <v>94</v>
      </c>
      <c r="AV35" s="479"/>
      <c r="AW35" s="374" t="s">
        <v>96</v>
      </c>
      <c r="AX35" s="373" t="s">
        <v>93</v>
      </c>
      <c r="AY35" s="479"/>
      <c r="AZ35" s="374" t="s">
        <v>96</v>
      </c>
      <c r="BA35" s="373" t="s">
        <v>93</v>
      </c>
    </row>
    <row r="36" spans="41:85" x14ac:dyDescent="0.25">
      <c r="AO36" s="392" t="s">
        <v>377</v>
      </c>
    </row>
    <row r="37" spans="41:85" x14ac:dyDescent="0.25">
      <c r="AQ37" t="s">
        <v>368</v>
      </c>
      <c r="AS37" s="387">
        <f>SUM(SUMIFS(AS2:AS25,CN2:CN25,AQ37,E2:E25,"0475",F2:F25,"12",AT2:AT25,{1,3}))</f>
        <v>18</v>
      </c>
      <c r="AT37" s="387">
        <f>SUMPRODUCT(--(CN2:CN25=AQ37),--(N2:N25&lt;&gt;"NG"),--(AG2:AG25&lt;&gt;"D"),--(AR2:AR25&lt;&gt;6),--(AR2:AR25&lt;&gt;36),--(AR2:AR25&lt;&gt;56),T2:T25)+SUMPRODUCT(--(CN2:CN25=AQ37),--(N2:N25&lt;&gt;"NG"),--(AG2:AG25&lt;&gt;"D"),--(AR2:AR25&lt;&gt;6),--(AR2:AR25&lt;&gt;36),--(AR2:AR25&lt;&gt;56),U2:U25)</f>
        <v>1240999.57</v>
      </c>
      <c r="AU37" s="387">
        <f>SUMPRODUCT(--(CN2:CN25=AQ37),--(N2:N25&lt;&gt;"NG"),--(AG2:AG25&lt;&gt;"D"),--(AR2:AR25&lt;&gt;6),--(AR2:AR25&lt;&gt;36),--(AR2:AR25&lt;&gt;56),V2:V25)</f>
        <v>448389.31999999989</v>
      </c>
      <c r="AV37" s="387">
        <f>SUMPRODUCT(--(CN2:CN25=AQ37),AY2:AY25)+SUMPRODUCT(--(CN2:CN25=AQ37),AZ2:AZ25)</f>
        <v>1491859.1999999997</v>
      </c>
      <c r="AW37" s="387">
        <f>SUMPRODUCT(--(CN2:CN25=AQ37),BB2:BB25)+SUMPRODUCT(--(CN2:CN25=AQ37),BC2:BC25)</f>
        <v>225000</v>
      </c>
      <c r="AX37" s="387">
        <f>SUMPRODUCT(--(CN2:CN25=AQ37),BL2:BL25)+SUMPRODUCT(--(CN2:CN25=AQ37),BM2:BM25)</f>
        <v>311030.77087999997</v>
      </c>
      <c r="AY37" s="387">
        <f>SUMPRODUCT(--(CN2:CN25=AQ37),AY2:AY25)+SUMPRODUCT(--(CN2:CN25=AQ37),AZ2:AZ25)+SUMPRODUCT(--(CN2:CN25=AQ37),BA2:BA25)</f>
        <v>1491859.1999999997</v>
      </c>
      <c r="AZ37" s="387">
        <f>SUMPRODUCT(--(CN2:CN25=AQ37),BN2:BN25)+SUMPRODUCT(--(CN2:CN25=AQ37),BO2:BO25)</f>
        <v>247500</v>
      </c>
      <c r="BA37" s="387">
        <f>SUMPRODUCT(--(CN2:CN25=AQ37),BX2:BX25)+SUMPRODUCT(--(CN2:CN25=AQ37),BY2:BY25)</f>
        <v>298610.36768000002</v>
      </c>
    </row>
    <row r="38" spans="41:85" x14ac:dyDescent="0.25">
      <c r="AP38" t="s">
        <v>378</v>
      </c>
      <c r="AS38" s="398">
        <f t="shared" ref="AS38:BA38" si="45">SUM(AS37:AS37)</f>
        <v>18</v>
      </c>
      <c r="AT38" s="398">
        <f t="shared" si="45"/>
        <v>1240999.57</v>
      </c>
      <c r="AU38" s="398">
        <f t="shared" si="45"/>
        <v>448389.31999999989</v>
      </c>
      <c r="AV38" s="398">
        <f t="shared" si="45"/>
        <v>1491859.1999999997</v>
      </c>
      <c r="AW38" s="398">
        <f t="shared" si="45"/>
        <v>225000</v>
      </c>
      <c r="AX38" s="398">
        <f t="shared" si="45"/>
        <v>311030.77087999997</v>
      </c>
      <c r="AY38" s="398">
        <f t="shared" si="45"/>
        <v>1491859.1999999997</v>
      </c>
      <c r="AZ38" s="398">
        <f t="shared" si="45"/>
        <v>247500</v>
      </c>
      <c r="BA38" s="398">
        <f t="shared" si="45"/>
        <v>298610.36768000002</v>
      </c>
    </row>
    <row r="39" spans="41:85" x14ac:dyDescent="0.25">
      <c r="AS39" s="387"/>
      <c r="AT39" s="387"/>
      <c r="AU39" s="387"/>
      <c r="AV39" s="387"/>
      <c r="AW39" s="387"/>
      <c r="AX39" s="387"/>
      <c r="AY39" s="387"/>
      <c r="AZ39" s="387"/>
      <c r="BA39" s="387"/>
    </row>
    <row r="40" spans="41:85" x14ac:dyDescent="0.25">
      <c r="AO40" s="396" t="s">
        <v>379</v>
      </c>
      <c r="AS40" s="399">
        <f t="shared" ref="AS40:BA40" si="46">SUM(AS38)</f>
        <v>18</v>
      </c>
      <c r="AT40" s="399">
        <f t="shared" si="46"/>
        <v>1240999.57</v>
      </c>
      <c r="AU40" s="399">
        <f t="shared" si="46"/>
        <v>448389.31999999989</v>
      </c>
      <c r="AV40" s="399">
        <f t="shared" si="46"/>
        <v>1491859.1999999997</v>
      </c>
      <c r="AW40" s="399">
        <f t="shared" si="46"/>
        <v>225000</v>
      </c>
      <c r="AX40" s="399">
        <f t="shared" si="46"/>
        <v>311030.77087999997</v>
      </c>
      <c r="AY40" s="399">
        <f t="shared" si="46"/>
        <v>1491859.1999999997</v>
      </c>
      <c r="AZ40" s="399">
        <f t="shared" si="46"/>
        <v>247500</v>
      </c>
      <c r="BA40" s="399">
        <f t="shared" si="46"/>
        <v>298610.36768000002</v>
      </c>
    </row>
    <row r="41" spans="41:85" x14ac:dyDescent="0.25">
      <c r="AS41" s="387"/>
      <c r="AT41" s="387"/>
      <c r="AU41" s="387"/>
      <c r="AV41" s="387"/>
      <c r="AW41" s="387"/>
      <c r="AX41" s="387"/>
      <c r="AY41" s="387"/>
      <c r="AZ41" s="387"/>
      <c r="BA41" s="387"/>
    </row>
    <row r="42" spans="41:85" x14ac:dyDescent="0.25">
      <c r="AO42" s="392" t="s">
        <v>380</v>
      </c>
      <c r="AS42" s="387"/>
      <c r="AT42" s="387"/>
      <c r="AU42" s="387"/>
      <c r="AV42" s="387"/>
      <c r="AW42" s="387"/>
      <c r="AX42" s="387"/>
      <c r="AY42" s="387"/>
      <c r="AZ42" s="387"/>
      <c r="BA42" s="387"/>
    </row>
    <row r="43" spans="41:85" x14ac:dyDescent="0.25">
      <c r="AS43" s="387"/>
      <c r="AT43" s="387"/>
      <c r="AU43" s="387"/>
      <c r="AV43" s="387"/>
      <c r="AW43" s="387"/>
      <c r="AX43" s="387"/>
      <c r="AY43" s="387"/>
      <c r="AZ43" s="387"/>
      <c r="BA43" s="387"/>
    </row>
    <row r="44" spans="41:85" x14ac:dyDescent="0.25">
      <c r="AO44" s="396" t="s">
        <v>381</v>
      </c>
      <c r="AS44" s="387"/>
      <c r="AT44" s="387"/>
      <c r="AU44" s="387"/>
      <c r="AV44" s="387"/>
      <c r="AW44" s="387"/>
      <c r="AX44" s="387"/>
      <c r="AY44" s="387"/>
      <c r="AZ44" s="387"/>
      <c r="BA44" s="387"/>
      <c r="CG44" s="392"/>
    </row>
    <row r="45" spans="41:85" x14ac:dyDescent="0.25">
      <c r="AS45" s="387"/>
      <c r="AT45" s="387"/>
      <c r="AU45" s="387"/>
      <c r="AV45" s="387"/>
      <c r="AW45" s="387"/>
      <c r="AX45" s="387"/>
      <c r="AY45" s="387"/>
      <c r="AZ45" s="387"/>
      <c r="BA45" s="387"/>
    </row>
    <row r="46" spans="41:85" x14ac:dyDescent="0.25">
      <c r="AO46" s="397" t="s">
        <v>382</v>
      </c>
      <c r="AS46" s="400">
        <f t="shared" ref="AS46:BA46" si="47">SUM(AS40)</f>
        <v>18</v>
      </c>
      <c r="AT46" s="401">
        <f t="shared" si="47"/>
        <v>1240999.57</v>
      </c>
      <c r="AU46" s="401">
        <f t="shared" si="47"/>
        <v>448389.31999999989</v>
      </c>
      <c r="AV46" s="401">
        <f t="shared" si="47"/>
        <v>1491859.1999999997</v>
      </c>
      <c r="AW46" s="401">
        <f t="shared" si="47"/>
        <v>225000</v>
      </c>
      <c r="AX46" s="401">
        <f t="shared" si="47"/>
        <v>311030.77087999997</v>
      </c>
      <c r="AY46" s="401">
        <f t="shared" si="47"/>
        <v>1491859.1999999997</v>
      </c>
      <c r="AZ46" s="401">
        <f t="shared" si="47"/>
        <v>247500</v>
      </c>
      <c r="BA46" s="401">
        <f t="shared" si="47"/>
        <v>298610.36768000002</v>
      </c>
    </row>
  </sheetData>
  <mergeCells count="5">
    <mergeCell ref="AT34:AU34"/>
    <mergeCell ref="AV34:AV35"/>
    <mergeCell ref="AW34:AX34"/>
    <mergeCell ref="AY34:AY35"/>
    <mergeCell ref="AZ34:BA3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3.3E-3</v>
      </c>
      <c r="D8" s="234">
        <v>2.3999999999999998E-3</v>
      </c>
      <c r="E8" s="314">
        <f t="shared" si="0"/>
        <v>-9.0000000000000019E-4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9.0069999999999983E-2</v>
      </c>
      <c r="D12" s="234">
        <f>SUM(D5:D11)</f>
        <v>8.9169999999999985E-2</v>
      </c>
      <c r="E12" s="315">
        <f>D12-C12</f>
        <v>-8.9999999999999802E-4</v>
      </c>
      <c r="M12" s="320"/>
    </row>
    <row r="13" spans="1:15" x14ac:dyDescent="0.3">
      <c r="A13" s="3"/>
      <c r="B13" s="231" t="s">
        <v>9</v>
      </c>
      <c r="C13" s="226">
        <f>SUM(C5:C8)</f>
        <v>7.9799999999999996E-2</v>
      </c>
      <c r="D13" s="226">
        <f>SUM(D5:D8)</f>
        <v>7.8899999999999998E-2</v>
      </c>
      <c r="E13" s="313">
        <f t="shared" si="0"/>
        <v>-8.9999999999999802E-4</v>
      </c>
      <c r="F13" s="8"/>
    </row>
    <row r="14" spans="1:15" x14ac:dyDescent="0.3">
      <c r="A14" s="230"/>
      <c r="B14" s="232" t="s">
        <v>100</v>
      </c>
      <c r="C14" s="226">
        <f>SUM(C5:C6,C8:C9)</f>
        <v>8.700999999999999E-2</v>
      </c>
      <c r="D14" s="226">
        <f>SUM(D5:D6,D8:D9)</f>
        <v>8.6109999999999992E-2</v>
      </c>
      <c r="E14" s="313">
        <f>D14-C14</f>
        <v>-8.9999999999999802E-4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370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"&amp;'GVHR|0475-12'!FiscalYear-1&amp;" SALARY"</f>
        <v>FY 2023 SALARY</v>
      </c>
      <c r="F2" s="50" t="str">
        <f>"FY "&amp;'GVHR|0475-12'!FiscalYear-1&amp;" HEALTH BENEFITS"</f>
        <v>FY 2023 HEALTH BENEFITS</v>
      </c>
      <c r="G2" s="50" t="str">
        <f>"FY "&amp;'GVHR|0475-12'!FiscalYear-1&amp;" VAR BENEFITS"</f>
        <v>FY 2023 VAR BENEFITS</v>
      </c>
      <c r="H2" s="50" t="str">
        <f>"FY "&amp;'GVHR|0475-12'!FiscalYear-1&amp;" TOTAL"</f>
        <v>FY 2023 TOTAL</v>
      </c>
      <c r="I2" s="50" t="str">
        <f>"FY "&amp;'GVHR|0475-12'!FiscalYear&amp;" SALARY CHANGE"</f>
        <v>FY 2024 SALARY CHANGE</v>
      </c>
      <c r="J2" s="50" t="str">
        <f>"FY "&amp;'GVHR|0475-12'!FiscalYear&amp;" CHG HEALTH BENEFITS"</f>
        <v>FY 2024 CHG HEALTH BENEFITS</v>
      </c>
      <c r="K2" s="50" t="str">
        <f>"FY "&amp;'GVHR|0475-12'!FiscalYear&amp;"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[0]!GVHR047512col_INC_FTI</f>
        <v>18</v>
      </c>
      <c r="E4" s="218">
        <f>[0]!GVHR047512col_FTI_SALARY_PERM</f>
        <v>1491859.1999999997</v>
      </c>
      <c r="F4" s="218">
        <f>[0]!GVHR047512col_HEALTH_PERM</f>
        <v>225000</v>
      </c>
      <c r="G4" s="218">
        <f>[0]!GVHR047512col_TOT_VB_PERM</f>
        <v>311030.77087999997</v>
      </c>
      <c r="H4" s="219">
        <f>SUM(E4:G4)</f>
        <v>2027889.9708799997</v>
      </c>
      <c r="I4" s="219">
        <f>[0]!GVHR047512col_1_27TH_PP</f>
        <v>0</v>
      </c>
      <c r="J4" s="218">
        <f>[0]!GVHR047512col_HEALTH_PERM_CHG</f>
        <v>22500</v>
      </c>
      <c r="K4" s="218">
        <f>[0]!GVHR047512col_TOT_VB_PERM_CHG</f>
        <v>-12420.403200000017</v>
      </c>
      <c r="L4" s="218">
        <f>SUM(J4:K4)</f>
        <v>10079.596799999983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[0]!GVHR047512col_Group_Salary</f>
        <v>0</v>
      </c>
      <c r="F5" s="218">
        <v>0</v>
      </c>
      <c r="G5" s="218">
        <f>[0]!GVHR047512col_Group_Ben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[0]!GVHR047512col_TOTAL_ELECT_PCN_FTI</f>
        <v>0</v>
      </c>
      <c r="E6" s="218">
        <f>[0]!GVHR047512col_FTI_SALARY_ELECT</f>
        <v>0</v>
      </c>
      <c r="F6" s="218">
        <f>[0]!GVHR047512col_HEALTH_ELECT</f>
        <v>0</v>
      </c>
      <c r="G6" s="218">
        <f>[0]!GVHR047512col_TOT_VB_ELECT</f>
        <v>0</v>
      </c>
      <c r="H6" s="219">
        <f>SUM(E6:G6)</f>
        <v>0</v>
      </c>
      <c r="I6" s="268"/>
      <c r="J6" s="218">
        <f>[0]!GVHR047512col_HEALTH_ELECT_CHG</f>
        <v>0</v>
      </c>
      <c r="K6" s="218">
        <f>[0]!GVHR047512col_TOT_VB_ELECT_CHG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18</v>
      </c>
      <c r="E7" s="221">
        <f>SUM(E4:E6)</f>
        <v>1491859.1999999997</v>
      </c>
      <c r="F7" s="221">
        <f>SUM(F4:F6)</f>
        <v>225000</v>
      </c>
      <c r="G7" s="221">
        <f>SUM(G4:G6)</f>
        <v>311030.77087999997</v>
      </c>
      <c r="H7" s="219">
        <f>SUM(E7:G7)</f>
        <v>2027889.9708799997</v>
      </c>
      <c r="I7" s="268"/>
      <c r="J7" s="219">
        <f>SUM(J4:J6)</f>
        <v>22500</v>
      </c>
      <c r="K7" s="219">
        <f>SUM(K4:K6)</f>
        <v>-12420.403200000017</v>
      </c>
      <c r="L7" s="219">
        <f>SUM(L4:L6)</f>
        <v>10079.596799999983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"&amp;'GVHR|0475-12'!FiscalYear-1</f>
        <v>FY 2023</v>
      </c>
      <c r="B9" s="158" t="s">
        <v>31</v>
      </c>
      <c r="C9" s="355">
        <v>2394300</v>
      </c>
      <c r="D9" s="55">
        <v>22</v>
      </c>
      <c r="E9" s="223">
        <f>IF('GVHR|0475-12'!OrigApprop=0,0,(E7/H7)*'GVHR|0475-12'!OrigApprop)</f>
        <v>1761416.3163941058</v>
      </c>
      <c r="F9" s="223">
        <f>IF('GVHR|0475-12'!OrigApprop=0,0,(F7/H7)*'GVHR|0475-12'!OrigApprop)</f>
        <v>265654.20596573316</v>
      </c>
      <c r="G9" s="223">
        <f>IF(E9=0,0,(G7/H7)*'GVHR|0475-12'!OrigApprop)</f>
        <v>367229.47764016117</v>
      </c>
      <c r="H9" s="223">
        <f>SUM(E9:G9)</f>
        <v>2394300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4</v>
      </c>
      <c r="E10" s="162">
        <f>E9-E7</f>
        <v>269557.11639410607</v>
      </c>
      <c r="F10" s="162">
        <f>F9-F7</f>
        <v>40654.205965733156</v>
      </c>
      <c r="G10" s="162">
        <f>G9-G7</f>
        <v>56198.706760161207</v>
      </c>
      <c r="H10" s="162">
        <f>H9-H7</f>
        <v>366410.02912000031</v>
      </c>
      <c r="I10" s="269"/>
      <c r="J10" s="56" t="str">
        <f>IF('GVHR|0475-12'!OrigApprop=0,"No Original Appropriation amount in DU 3.00 for this fund","Calculated "&amp;IF('GVHR|0475-12'!AdjustedTotal&gt;0,"overfunding ","underfunding ")&amp;"is "&amp;TEXT('GVHR|0475-12'!AdjustedTotal/'GVHR|0475-12'!AppropTotal,"#.0%;(#.0% );0% ;")&amp;" of Original Appropriation")</f>
        <v>Calculated overfunding is 15.3%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194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374</v>
      </c>
      <c r="G5" s="477"/>
      <c r="H5" s="478" t="s">
        <v>372</v>
      </c>
      <c r="I5" s="477" t="s">
        <v>375</v>
      </c>
      <c r="J5" s="477"/>
      <c r="K5" s="478" t="s">
        <v>373</v>
      </c>
      <c r="L5" s="477" t="s">
        <v>376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377</v>
      </c>
      <c r="D7" s="250"/>
    </row>
    <row r="8" spans="1:13" x14ac:dyDescent="0.25">
      <c r="C8" t="s">
        <v>368</v>
      </c>
      <c r="D8" s="250"/>
      <c r="E8" s="402">
        <f>Data!AS37</f>
        <v>18</v>
      </c>
      <c r="F8" s="402">
        <f>Data!AT37</f>
        <v>1240999.57</v>
      </c>
      <c r="G8" s="402">
        <f>Data!AU37</f>
        <v>448389.31999999989</v>
      </c>
      <c r="H8" s="402">
        <f>Data!AV37</f>
        <v>1491859.1999999997</v>
      </c>
      <c r="I8" s="402">
        <f>Data!AW37</f>
        <v>225000</v>
      </c>
      <c r="J8" s="402">
        <f>Data!AX37</f>
        <v>311030.77087999997</v>
      </c>
      <c r="K8" s="402">
        <f>Data!AY37</f>
        <v>1491859.1999999997</v>
      </c>
      <c r="L8" s="402">
        <f>Data!AZ37</f>
        <v>247500</v>
      </c>
      <c r="M8" s="402">
        <f>Data!BA37</f>
        <v>298610.36768000002</v>
      </c>
    </row>
    <row r="9" spans="1:13" x14ac:dyDescent="0.25">
      <c r="B9" t="s">
        <v>378</v>
      </c>
      <c r="D9" s="250"/>
      <c r="E9" s="403">
        <f>Data!AS38</f>
        <v>18</v>
      </c>
      <c r="F9" s="403">
        <f>Data!AT38</f>
        <v>1240999.57</v>
      </c>
      <c r="G9" s="403">
        <f>Data!AU38</f>
        <v>448389.31999999989</v>
      </c>
      <c r="H9" s="403">
        <f>Data!AV38</f>
        <v>1491859.1999999997</v>
      </c>
      <c r="I9" s="403">
        <f>Data!AW38</f>
        <v>225000</v>
      </c>
      <c r="J9" s="403">
        <f>Data!AX38</f>
        <v>311030.77087999997</v>
      </c>
      <c r="K9" s="403">
        <f>Data!AY38</f>
        <v>1491859.1999999997</v>
      </c>
      <c r="L9" s="403">
        <f>Data!AZ38</f>
        <v>247500</v>
      </c>
      <c r="M9" s="403">
        <f>Data!BA38</f>
        <v>298610.36768000002</v>
      </c>
    </row>
    <row r="10" spans="1:13" x14ac:dyDescent="0.25">
      <c r="D10" s="250"/>
      <c r="E10" s="402">
        <f>Data!AS39</f>
        <v>0</v>
      </c>
      <c r="F10" s="402">
        <f>Data!AT39</f>
        <v>0</v>
      </c>
      <c r="G10" s="402">
        <f>Data!AU39</f>
        <v>0</v>
      </c>
      <c r="H10" s="402">
        <f>Data!AV39</f>
        <v>0</v>
      </c>
      <c r="I10" s="402">
        <f>Data!AW39</f>
        <v>0</v>
      </c>
      <c r="J10" s="402">
        <f>Data!AX39</f>
        <v>0</v>
      </c>
      <c r="K10" s="402">
        <f>Data!AY39</f>
        <v>0</v>
      </c>
      <c r="L10" s="402">
        <f>Data!AZ39</f>
        <v>0</v>
      </c>
      <c r="M10" s="402">
        <f>Data!BA39</f>
        <v>0</v>
      </c>
    </row>
    <row r="11" spans="1:13" x14ac:dyDescent="0.25">
      <c r="A11" s="396" t="s">
        <v>379</v>
      </c>
      <c r="D11" s="250"/>
      <c r="E11" s="404">
        <f>Data!AS40</f>
        <v>18</v>
      </c>
      <c r="F11" s="404">
        <f>Data!AT40</f>
        <v>1240999.57</v>
      </c>
      <c r="G11" s="404">
        <f>Data!AU40</f>
        <v>448389.31999999989</v>
      </c>
      <c r="H11" s="404">
        <f>Data!AV40</f>
        <v>1491859.1999999997</v>
      </c>
      <c r="I11" s="404">
        <f>Data!AW40</f>
        <v>225000</v>
      </c>
      <c r="J11" s="404">
        <f>Data!AX40</f>
        <v>311030.77087999997</v>
      </c>
      <c r="K11" s="404">
        <f>Data!AY40</f>
        <v>1491859.1999999997</v>
      </c>
      <c r="L11" s="404">
        <f>Data!AZ40</f>
        <v>247500</v>
      </c>
      <c r="M11" s="404">
        <f>Data!BA40</f>
        <v>298610.36768000002</v>
      </c>
    </row>
    <row r="12" spans="1:13" x14ac:dyDescent="0.25">
      <c r="D12" s="250"/>
      <c r="E12" s="402">
        <f>Data!AS41</f>
        <v>0</v>
      </c>
      <c r="F12" s="402">
        <f>Data!AT41</f>
        <v>0</v>
      </c>
      <c r="G12" s="402">
        <f>Data!AU41</f>
        <v>0</v>
      </c>
      <c r="H12" s="402">
        <f>Data!AV41</f>
        <v>0</v>
      </c>
      <c r="I12" s="402">
        <f>Data!AW41</f>
        <v>0</v>
      </c>
      <c r="J12" s="402">
        <f>Data!AX41</f>
        <v>0</v>
      </c>
      <c r="K12" s="402">
        <f>Data!AY41</f>
        <v>0</v>
      </c>
      <c r="L12" s="402">
        <f>Data!AZ41</f>
        <v>0</v>
      </c>
      <c r="M12" s="402">
        <f>Data!BA41</f>
        <v>0</v>
      </c>
    </row>
    <row r="13" spans="1:13" x14ac:dyDescent="0.25">
      <c r="A13" s="392" t="s">
        <v>380</v>
      </c>
      <c r="D13" s="250"/>
      <c r="E13" s="402">
        <f>Data!AS42</f>
        <v>0</v>
      </c>
      <c r="F13" s="402">
        <f>Data!AT42</f>
        <v>0</v>
      </c>
      <c r="G13" s="402">
        <f>Data!AU42</f>
        <v>0</v>
      </c>
      <c r="H13" s="402">
        <f>Data!AV42</f>
        <v>0</v>
      </c>
      <c r="I13" s="402">
        <f>Data!AW42</f>
        <v>0</v>
      </c>
      <c r="J13" s="402">
        <f>Data!AX42</f>
        <v>0</v>
      </c>
      <c r="K13" s="402">
        <f>Data!AY42</f>
        <v>0</v>
      </c>
      <c r="L13" s="402">
        <f>Data!AZ42</f>
        <v>0</v>
      </c>
      <c r="M13" s="402">
        <f>Data!BA42</f>
        <v>0</v>
      </c>
    </row>
    <row r="14" spans="1:13" x14ac:dyDescent="0.25">
      <c r="E14" s="402">
        <f>Data!AS43</f>
        <v>0</v>
      </c>
      <c r="F14" s="402">
        <f>Data!AT43</f>
        <v>0</v>
      </c>
      <c r="G14" s="402">
        <f>Data!AU43</f>
        <v>0</v>
      </c>
      <c r="H14" s="402">
        <f>Data!AV43</f>
        <v>0</v>
      </c>
      <c r="I14" s="402">
        <f>Data!AW43</f>
        <v>0</v>
      </c>
      <c r="J14" s="402">
        <f>Data!AX43</f>
        <v>0</v>
      </c>
      <c r="K14" s="402">
        <f>Data!AY43</f>
        <v>0</v>
      </c>
      <c r="L14" s="402">
        <f>Data!AZ43</f>
        <v>0</v>
      </c>
      <c r="M14" s="402">
        <f>Data!BA43</f>
        <v>0</v>
      </c>
    </row>
    <row r="15" spans="1:13" x14ac:dyDescent="0.25">
      <c r="A15" s="396" t="s">
        <v>381</v>
      </c>
      <c r="E15" s="402">
        <f>Data!AS44</f>
        <v>0</v>
      </c>
      <c r="F15" s="402">
        <f>Data!AT44</f>
        <v>0</v>
      </c>
      <c r="G15" s="402">
        <f>Data!AU44</f>
        <v>0</v>
      </c>
      <c r="H15" s="402">
        <f>Data!AV44</f>
        <v>0</v>
      </c>
      <c r="I15" s="402">
        <f>Data!AW44</f>
        <v>0</v>
      </c>
      <c r="J15" s="402">
        <f>Data!AX44</f>
        <v>0</v>
      </c>
      <c r="K15" s="402">
        <f>Data!AY44</f>
        <v>0</v>
      </c>
      <c r="L15" s="402">
        <f>Data!AZ44</f>
        <v>0</v>
      </c>
      <c r="M15" s="402">
        <f>Data!BA44</f>
        <v>0</v>
      </c>
    </row>
    <row r="16" spans="1:13" x14ac:dyDescent="0.25">
      <c r="E16" s="402">
        <f>Data!AS45</f>
        <v>0</v>
      </c>
      <c r="F16" s="402">
        <f>Data!AT45</f>
        <v>0</v>
      </c>
      <c r="G16" s="402">
        <f>Data!AU45</f>
        <v>0</v>
      </c>
      <c r="H16" s="402">
        <f>Data!AV45</f>
        <v>0</v>
      </c>
      <c r="I16" s="402">
        <f>Data!AW45</f>
        <v>0</v>
      </c>
      <c r="J16" s="402">
        <f>Data!AX45</f>
        <v>0</v>
      </c>
      <c r="K16" s="402">
        <f>Data!AY45</f>
        <v>0</v>
      </c>
      <c r="L16" s="402">
        <f>Data!AZ45</f>
        <v>0</v>
      </c>
      <c r="M16" s="402">
        <f>Data!BA45</f>
        <v>0</v>
      </c>
    </row>
    <row r="17" spans="1:13" x14ac:dyDescent="0.25">
      <c r="A17" s="397" t="s">
        <v>382</v>
      </c>
      <c r="E17" s="400">
        <f>Data!AS46</f>
        <v>18</v>
      </c>
      <c r="F17" s="401">
        <f>Data!AT46</f>
        <v>1240999.57</v>
      </c>
      <c r="G17" s="401">
        <f>Data!AU46</f>
        <v>448389.31999999989</v>
      </c>
      <c r="H17" s="401">
        <f>Data!AV46</f>
        <v>1491859.1999999997</v>
      </c>
      <c r="I17" s="401">
        <f>Data!AW46</f>
        <v>225000</v>
      </c>
      <c r="J17" s="401">
        <f>Data!AX46</f>
        <v>311030.77087999997</v>
      </c>
      <c r="K17" s="401">
        <f>Data!AY46</f>
        <v>1491859.1999999997</v>
      </c>
      <c r="L17" s="401">
        <f>Data!AZ46</f>
        <v>247500</v>
      </c>
      <c r="M17" s="401">
        <f>Data!BA46</f>
        <v>298610.36768000002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Office of the Governor&amp;R&amp;"Arial"&amp;10 Agency 194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GVHR|0475-12</vt:lpstr>
      <vt:lpstr>Data</vt:lpstr>
      <vt:lpstr>Benefits</vt:lpstr>
      <vt:lpstr>B6</vt:lpstr>
      <vt:lpstr>Summary</vt:lpstr>
      <vt:lpstr>FundSummary</vt:lpstr>
      <vt:lpstr>'GVHR|0475-12'!AdjGroupHlth</vt:lpstr>
      <vt:lpstr>AdjGroupHlth</vt:lpstr>
      <vt:lpstr>'GVHR|0475-12'!AdjGroupSalary</vt:lpstr>
      <vt:lpstr>AdjGroupSalary</vt:lpstr>
      <vt:lpstr>'GVHR|0475-12'!AdjGroupVB</vt:lpstr>
      <vt:lpstr>AdjGroupVB</vt:lpstr>
      <vt:lpstr>'GVHR|0475-12'!AdjGroupVBBY</vt:lpstr>
      <vt:lpstr>AdjGroupVBBY</vt:lpstr>
      <vt:lpstr>'GVHR|0475-12'!AdjPermHlth</vt:lpstr>
      <vt:lpstr>AdjPermHlth</vt:lpstr>
      <vt:lpstr>'GVHR|0475-12'!AdjPermHlthBY</vt:lpstr>
      <vt:lpstr>AdjPermHlthBY</vt:lpstr>
      <vt:lpstr>'GVHR|0475-12'!AdjPermSalary</vt:lpstr>
      <vt:lpstr>AdjPermSalary</vt:lpstr>
      <vt:lpstr>'GVHR|0475-12'!AdjPermVB</vt:lpstr>
      <vt:lpstr>AdjPermVB</vt:lpstr>
      <vt:lpstr>'GVHR|0475-12'!AdjPermVBBY</vt:lpstr>
      <vt:lpstr>AdjPermVBBY</vt:lpstr>
      <vt:lpstr>'GVHR|0475-12'!AdjustedTotal</vt:lpstr>
      <vt:lpstr>AdjustedTotal</vt:lpstr>
      <vt:lpstr>'GVHR|0475-12'!AgencyNum</vt:lpstr>
      <vt:lpstr>AgencyNum</vt:lpstr>
      <vt:lpstr>'GVHR|0475-12'!AppropFTP</vt:lpstr>
      <vt:lpstr>AppropFTP</vt:lpstr>
      <vt:lpstr>'GVHR|0475-12'!AppropTotal</vt:lpstr>
      <vt:lpstr>AppropTotal</vt:lpstr>
      <vt:lpstr>'GVHR|0475-12'!AtZHealth</vt:lpstr>
      <vt:lpstr>AtZHealth</vt:lpstr>
      <vt:lpstr>'GVHR|0475-12'!AtZSalary</vt:lpstr>
      <vt:lpstr>AtZSalary</vt:lpstr>
      <vt:lpstr>'GVHR|0475-12'!AtZTotal</vt:lpstr>
      <vt:lpstr>AtZTotal</vt:lpstr>
      <vt:lpstr>'GVHR|0475-12'!AtZVarBen</vt:lpstr>
      <vt:lpstr>AtZVarBen</vt:lpstr>
      <vt:lpstr>'GVHR|0475-12'!BudgetUnit</vt:lpstr>
      <vt:lpstr>BudgetUnit</vt:lpstr>
      <vt:lpstr>BudgetYear</vt:lpstr>
      <vt:lpstr>CECGroup</vt:lpstr>
      <vt:lpstr>'GVHR|0475-12'!CECOrigElectSalary</vt:lpstr>
      <vt:lpstr>CECOrigElectSalary</vt:lpstr>
      <vt:lpstr>'GVHR|0475-12'!CECOrigElectVB</vt:lpstr>
      <vt:lpstr>CECOrigElectVB</vt:lpstr>
      <vt:lpstr>'GVHR|0475-12'!CECOrigGroupSalary</vt:lpstr>
      <vt:lpstr>CECOrigGroupSalary</vt:lpstr>
      <vt:lpstr>'GVHR|0475-12'!CECOrigGroupVB</vt:lpstr>
      <vt:lpstr>CECOrigGroupVB</vt:lpstr>
      <vt:lpstr>'GVHR|0475-12'!CECOrigPermSalary</vt:lpstr>
      <vt:lpstr>CECOrigPermSalary</vt:lpstr>
      <vt:lpstr>'GVHR|0475-12'!CECOrigPermVB</vt:lpstr>
      <vt:lpstr>CECOrigPermVB</vt:lpstr>
      <vt:lpstr>CECPerm</vt:lpstr>
      <vt:lpstr>'GVHR|0475-12'!CECpermCalc</vt:lpstr>
      <vt:lpstr>CECpermCalc</vt:lpstr>
      <vt:lpstr>'GVHR|0475-12'!Department</vt:lpstr>
      <vt:lpstr>Department</vt:lpstr>
      <vt:lpstr>DHR</vt:lpstr>
      <vt:lpstr>DHRBY</vt:lpstr>
      <vt:lpstr>DHRCHG</vt:lpstr>
      <vt:lpstr>'GVHR|0475-12'!Division</vt:lpstr>
      <vt:lpstr>Division</vt:lpstr>
      <vt:lpstr>'GVHR|0475-12'!DUCECElect</vt:lpstr>
      <vt:lpstr>DUCECElect</vt:lpstr>
      <vt:lpstr>'GVHR|0475-12'!DUCECGroup</vt:lpstr>
      <vt:lpstr>DUCECGroup</vt:lpstr>
      <vt:lpstr>'GVHR|0475-12'!DUCECPerm</vt:lpstr>
      <vt:lpstr>DUCECPerm</vt:lpstr>
      <vt:lpstr>'GVHR|0475-12'!DUEleven</vt:lpstr>
      <vt:lpstr>DUEleven</vt:lpstr>
      <vt:lpstr>'GVHR|0475-12'!DUHealthBen</vt:lpstr>
      <vt:lpstr>DUHealthBen</vt:lpstr>
      <vt:lpstr>'GVHR|0475-12'!DUNine</vt:lpstr>
      <vt:lpstr>DUNine</vt:lpstr>
      <vt:lpstr>'GVHR|0475-12'!DUThirteen</vt:lpstr>
      <vt:lpstr>DUThirteen</vt:lpstr>
      <vt:lpstr>'GVHR|0475-12'!DUVariableBen</vt:lpstr>
      <vt:lpstr>DUVariableBen</vt:lpstr>
      <vt:lpstr>'GVHR|0475-12'!Elect_chg_health</vt:lpstr>
      <vt:lpstr>Elect_chg_health</vt:lpstr>
      <vt:lpstr>'GVHR|0475-12'!Elect_chg_Var</vt:lpstr>
      <vt:lpstr>Elect_chg_Var</vt:lpstr>
      <vt:lpstr>'GVHR|0475-12'!elect_FTP</vt:lpstr>
      <vt:lpstr>elect_FTP</vt:lpstr>
      <vt:lpstr>'GVHR|0475-12'!Elect_health</vt:lpstr>
      <vt:lpstr>Elect_health</vt:lpstr>
      <vt:lpstr>'GVHR|0475-12'!Elect_name</vt:lpstr>
      <vt:lpstr>Elect_name</vt:lpstr>
      <vt:lpstr>'GVHR|0475-12'!Elect_salary</vt:lpstr>
      <vt:lpstr>Elect_salary</vt:lpstr>
      <vt:lpstr>'GVHR|0475-12'!Elect_Var</vt:lpstr>
      <vt:lpstr>Elect_Var</vt:lpstr>
      <vt:lpstr>'GVHR|0475-12'!Elect_VarBen</vt:lpstr>
      <vt:lpstr>Elect_VarBen</vt:lpstr>
      <vt:lpstr>ElectVB</vt:lpstr>
      <vt:lpstr>ElectVBBY</vt:lpstr>
      <vt:lpstr>ElectVBCHG</vt:lpstr>
      <vt:lpstr>FillRate_Avg</vt:lpstr>
      <vt:lpstr>'GVHR|0475-12'!FiscalYear</vt:lpstr>
      <vt:lpstr>FiscalYear</vt:lpstr>
      <vt:lpstr>'GVHR|0475-12'!FundName</vt:lpstr>
      <vt:lpstr>FundName</vt:lpstr>
      <vt:lpstr>'GVHR|0475-12'!FundNum</vt:lpstr>
      <vt:lpstr>FundNum</vt:lpstr>
      <vt:lpstr>'GVHR|0475-12'!FundNumber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'GVHR|0475-12'!Group_name</vt:lpstr>
      <vt:lpstr>Group_name</vt:lpstr>
      <vt:lpstr>'GVHR|0475-12'!GroupFxdBen</vt:lpstr>
      <vt:lpstr>GroupFxdBen</vt:lpstr>
      <vt:lpstr>'GVHR|0475-12'!GroupSalary</vt:lpstr>
      <vt:lpstr>GroupSalary</vt:lpstr>
      <vt:lpstr>'GVHR|0475-12'!GroupVarBen</vt:lpstr>
      <vt:lpstr>GroupVarBen</vt:lpstr>
      <vt:lpstr>GroupVB</vt:lpstr>
      <vt:lpstr>GroupVBBY</vt:lpstr>
      <vt:lpstr>GroupVBCHG</vt:lpstr>
      <vt:lpstr>GVHR047512col_1_27TH_PP</vt:lpstr>
      <vt:lpstr>GVHR047512col_DHR</vt:lpstr>
      <vt:lpstr>GVHR047512col_DHR_BY</vt:lpstr>
      <vt:lpstr>GVHR047512col_DHR_CHG</vt:lpstr>
      <vt:lpstr>GVHR047512col_FTI_SALARY_ELECT</vt:lpstr>
      <vt:lpstr>GVHR047512col_FTI_SALARY_PERM</vt:lpstr>
      <vt:lpstr>GVHR047512col_FTI_SALARY_SSDI</vt:lpstr>
      <vt:lpstr>GVHR047512col_Group_Ben</vt:lpstr>
      <vt:lpstr>GVHR047512col_Group_Salary</vt:lpstr>
      <vt:lpstr>GVHR047512col_HEALTH_ELECT</vt:lpstr>
      <vt:lpstr>GVHR047512col_HEALTH_ELECT_BY</vt:lpstr>
      <vt:lpstr>GVHR047512col_HEALTH_ELECT_CHG</vt:lpstr>
      <vt:lpstr>GVHR047512col_HEALTH_PERM</vt:lpstr>
      <vt:lpstr>GVHR047512col_HEALTH_PERM_BY</vt:lpstr>
      <vt:lpstr>GVHR047512col_HEALTH_PERM_CHG</vt:lpstr>
      <vt:lpstr>GVHR047512col_INC_FTI</vt:lpstr>
      <vt:lpstr>GVHR047512col_LIFE_INS</vt:lpstr>
      <vt:lpstr>GVHR047512col_LIFE_INS_BY</vt:lpstr>
      <vt:lpstr>GVHR047512col_LIFE_INS_CHG</vt:lpstr>
      <vt:lpstr>GVHR047512col_RETIREMENT</vt:lpstr>
      <vt:lpstr>GVHR047512col_RETIREMENT_BY</vt:lpstr>
      <vt:lpstr>GVHR047512col_RETIREMENT_CHG</vt:lpstr>
      <vt:lpstr>GVHR047512col_ROWS_PER_PCN</vt:lpstr>
      <vt:lpstr>GVHR047512col_SICK</vt:lpstr>
      <vt:lpstr>GVHR047512col_SICK_BY</vt:lpstr>
      <vt:lpstr>GVHR047512col_SICK_CHG</vt:lpstr>
      <vt:lpstr>GVHR047512col_SSDI</vt:lpstr>
      <vt:lpstr>GVHR047512col_SSDI_BY</vt:lpstr>
      <vt:lpstr>GVHR047512col_SSDI_CHG</vt:lpstr>
      <vt:lpstr>GVHR047512col_SSHI</vt:lpstr>
      <vt:lpstr>GVHR047512col_SSHI_BY</vt:lpstr>
      <vt:lpstr>GVHR047512col_SSHI_CHGv</vt:lpstr>
      <vt:lpstr>GVHR047512col_TOT_VB_ELECT</vt:lpstr>
      <vt:lpstr>GVHR047512col_TOT_VB_ELECT_BY</vt:lpstr>
      <vt:lpstr>GVHR047512col_TOT_VB_ELECT_CHG</vt:lpstr>
      <vt:lpstr>GVHR047512col_TOT_VB_PERM</vt:lpstr>
      <vt:lpstr>GVHR047512col_TOT_VB_PERM_BY</vt:lpstr>
      <vt:lpstr>GVHR047512col_TOT_VB_PERM_CHG</vt:lpstr>
      <vt:lpstr>GVHR047512col_TOTAL_ELECT_PCN_FTI</vt:lpstr>
      <vt:lpstr>GVHR047512col_TOTAL_ELECT_PCN_FTI_ALT</vt:lpstr>
      <vt:lpstr>GVHR047512col_TOTAL_PERM_PCN_FTI</vt:lpstr>
      <vt:lpstr>GVHR047512col_UNEMP_INS</vt:lpstr>
      <vt:lpstr>GVHR047512col_UNEMP_INS_BY</vt:lpstr>
      <vt:lpstr>GVHR047512col_UNEMP_INS_CHG</vt:lpstr>
      <vt:lpstr>GVHR047512col_WORKERS_COMP</vt:lpstr>
      <vt:lpstr>GVHR047512col_WORKERS_COMP_BY</vt:lpstr>
      <vt:lpstr>GVHR047512col_WORKERS_COMP_CHG</vt:lpstr>
      <vt:lpstr>Health</vt:lpstr>
      <vt:lpstr>HealthBY</vt:lpstr>
      <vt:lpstr>HealthCHG</vt:lpstr>
      <vt:lpstr>Life</vt:lpstr>
      <vt:lpstr>LifeBY</vt:lpstr>
      <vt:lpstr>LifeCHG</vt:lpstr>
      <vt:lpstr>'GVHR|0475-12'!LUMAFund</vt:lpstr>
      <vt:lpstr>LUMAFund</vt:lpstr>
      <vt:lpstr>MAXSSDI</vt:lpstr>
      <vt:lpstr>MAXSSDIBY</vt:lpstr>
      <vt:lpstr>'GVHR|0475-12'!NEW_AdjGroup</vt:lpstr>
      <vt:lpstr>NEW_AdjGroup</vt:lpstr>
      <vt:lpstr>'GVHR|0475-12'!NEW_AdjGroupSalary</vt:lpstr>
      <vt:lpstr>NEW_AdjGroupSalary</vt:lpstr>
      <vt:lpstr>'GVHR|0475-12'!NEW_AdjGroupVB</vt:lpstr>
      <vt:lpstr>NEW_AdjGroupVB</vt:lpstr>
      <vt:lpstr>'GVHR|0475-12'!NEW_AdjONLYGroup</vt:lpstr>
      <vt:lpstr>NEW_AdjONLYGroup</vt:lpstr>
      <vt:lpstr>'GVHR|0475-12'!NEW_AdjONLYGroupSalary</vt:lpstr>
      <vt:lpstr>NEW_AdjONLYGroupSalary</vt:lpstr>
      <vt:lpstr>'GVHR|0475-12'!NEW_AdjONLYGroupVB</vt:lpstr>
      <vt:lpstr>NEW_AdjONLYGroupVB</vt:lpstr>
      <vt:lpstr>'GVHR|0475-12'!NEW_AdjONLYPerm</vt:lpstr>
      <vt:lpstr>NEW_AdjONLYPerm</vt:lpstr>
      <vt:lpstr>'GVHR|0475-12'!NEW_AdjONLYPermSalary</vt:lpstr>
      <vt:lpstr>NEW_AdjONLYPermSalary</vt:lpstr>
      <vt:lpstr>'GVHR|0475-12'!NEW_AdjONLYPermVB</vt:lpstr>
      <vt:lpstr>NEW_AdjONLYPermVB</vt:lpstr>
      <vt:lpstr>'GVHR|0475-12'!NEW_AdjPerm</vt:lpstr>
      <vt:lpstr>NEW_AdjPerm</vt:lpstr>
      <vt:lpstr>'GVHR|0475-12'!NEW_AdjPermSalary</vt:lpstr>
      <vt:lpstr>NEW_AdjPermSalary</vt:lpstr>
      <vt:lpstr>'GVHR|0475-12'!NEW_AdjPermVB</vt:lpstr>
      <vt:lpstr>NEW_AdjPermVB</vt:lpstr>
      <vt:lpstr>'GVHR|0475-12'!NEW_GroupFilled</vt:lpstr>
      <vt:lpstr>NEW_GroupFilled</vt:lpstr>
      <vt:lpstr>'GVHR|0475-12'!NEW_GroupSalaryFilled</vt:lpstr>
      <vt:lpstr>NEW_GroupSalaryFilled</vt:lpstr>
      <vt:lpstr>'GVHR|0475-12'!NEW_GroupVBFilled</vt:lpstr>
      <vt:lpstr>NEW_GroupVBFilled</vt:lpstr>
      <vt:lpstr>'GVHR|0475-12'!NEW_PermFilled</vt:lpstr>
      <vt:lpstr>NEW_PermFilled</vt:lpstr>
      <vt:lpstr>'GVHR|0475-12'!NEW_PermSalaryFilled</vt:lpstr>
      <vt:lpstr>NEW_PermSalaryFilled</vt:lpstr>
      <vt:lpstr>'GVHR|0475-12'!NEW_PermVBFilled</vt:lpstr>
      <vt:lpstr>NEW_PermVBFilled</vt:lpstr>
      <vt:lpstr>'GVHR|0475-12'!OneTimePC_Total</vt:lpstr>
      <vt:lpstr>OneTimePC_Total</vt:lpstr>
      <vt:lpstr>'GVHR|0475-12'!OrigApprop</vt:lpstr>
      <vt:lpstr>OrigApprop</vt:lpstr>
      <vt:lpstr>'GVHR|0475-12'!perm_name</vt:lpstr>
      <vt:lpstr>perm_name</vt:lpstr>
      <vt:lpstr>'GVHR|0475-12'!PermFTP</vt:lpstr>
      <vt:lpstr>PermFTP</vt:lpstr>
      <vt:lpstr>'GVHR|0475-12'!PermFxdBen</vt:lpstr>
      <vt:lpstr>PermFxdBen</vt:lpstr>
      <vt:lpstr>'GVHR|0475-12'!PermFxdBenChg</vt:lpstr>
      <vt:lpstr>PermFxdBenChg</vt:lpstr>
      <vt:lpstr>'GVHR|0475-12'!PermFxdChg</vt:lpstr>
      <vt:lpstr>PermFxdChg</vt:lpstr>
      <vt:lpstr>'GVHR|0475-12'!PermSalary</vt:lpstr>
      <vt:lpstr>PermSalary</vt:lpstr>
      <vt:lpstr>'GVHR|0475-12'!PermVarBen</vt:lpstr>
      <vt:lpstr>PermVarBen</vt:lpstr>
      <vt:lpstr>'GVHR|0475-12'!PermVarBenChg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'GVHR|0475-12'!Print_Area</vt:lpstr>
      <vt:lpstr>'GVHR|0475-12'!Prog_Unadjusted_Total</vt:lpstr>
      <vt:lpstr>Prog_Unadjusted_Total</vt:lpstr>
      <vt:lpstr>'GVHR|0475-12'!Program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'GVHR|0475-12'!RoundedAppropSalary</vt:lpstr>
      <vt:lpstr>RoundedAppropSalary</vt:lpstr>
      <vt:lpstr>'GVHR|0475-12'!SalaryChg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195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