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EF1316A6-0948-4321-8E29-1CA45A637FB5}" xr6:coauthVersionLast="47" xr6:coauthVersionMax="47" xr10:uidLastSave="{00000000-0000-0000-0000-000000000000}"/>
  <bookViews>
    <workbookView xWindow="28980" yWindow="2490" windowWidth="24570" windowHeight="7515" tabRatio="712" xr2:uid="{00000000-000D-0000-FFFF-FFFF00000000}"/>
  </bookViews>
  <sheets>
    <sheet name="GVEA|0125-00" sheetId="12" r:id="rId1"/>
    <sheet name="GVEA|0348-00" sheetId="13" r:id="rId2"/>
    <sheet name="GVEA|0349-00" sheetId="14" r:id="rId3"/>
    <sheet name="GVEA|0494-00" sheetId="15" r:id="rId4"/>
    <sheet name="GVEB|0199-00" sheetId="16" r:id="rId5"/>
    <sheet name="Data" sheetId="5" r:id="rId6"/>
    <sheet name="Benefits" sheetId="7" r:id="rId7"/>
    <sheet name="B6" sheetId="9" r:id="rId8"/>
    <sheet name="Summary" sheetId="10" r:id="rId9"/>
    <sheet name="FundSummary" sheetId="11" r:id="rId10"/>
  </sheets>
  <definedNames>
    <definedName name="AdjGroupHlth" localSheetId="0">'GVEA|0125-00'!$H$39</definedName>
    <definedName name="AdjGroupHlth" localSheetId="1">'GVEA|0348-00'!$H$39</definedName>
    <definedName name="AdjGroupHlth" localSheetId="2">'GVEA|0349-00'!$H$39</definedName>
    <definedName name="AdjGroupHlth" localSheetId="3">'GVEA|0494-00'!$H$39</definedName>
    <definedName name="AdjGroupHlth" localSheetId="4">'GVEB|0199-00'!$H$39</definedName>
    <definedName name="AdjGroupHlth">'B6'!$H$39</definedName>
    <definedName name="AdjGroupSalary" localSheetId="0">'GVEA|0125-00'!$G$39</definedName>
    <definedName name="AdjGroupSalary" localSheetId="1">'GVEA|0348-00'!$G$39</definedName>
    <definedName name="AdjGroupSalary" localSheetId="2">'GVEA|0349-00'!$G$39</definedName>
    <definedName name="AdjGroupSalary" localSheetId="3">'GVEA|0494-00'!$G$39</definedName>
    <definedName name="AdjGroupSalary" localSheetId="4">'GVEB|0199-00'!$G$39</definedName>
    <definedName name="AdjGroupSalary">'B6'!$G$39</definedName>
    <definedName name="AdjGroupVB" localSheetId="0">'GVEA|0125-00'!$I$39</definedName>
    <definedName name="AdjGroupVB" localSheetId="1">'GVEA|0348-00'!$I$39</definedName>
    <definedName name="AdjGroupVB" localSheetId="2">'GVEA|0349-00'!$I$39</definedName>
    <definedName name="AdjGroupVB" localSheetId="3">'GVEA|0494-00'!$I$39</definedName>
    <definedName name="AdjGroupVB" localSheetId="4">'GVEB|0199-00'!$I$39</definedName>
    <definedName name="AdjGroupVB">'B6'!$I$39</definedName>
    <definedName name="AdjGroupVBBY" localSheetId="0">'GVEA|0125-00'!$M$39</definedName>
    <definedName name="AdjGroupVBBY" localSheetId="1">'GVEA|0348-00'!$M$39</definedName>
    <definedName name="AdjGroupVBBY" localSheetId="2">'GVEA|0349-00'!$M$39</definedName>
    <definedName name="AdjGroupVBBY" localSheetId="3">'GVEA|0494-00'!$M$39</definedName>
    <definedName name="AdjGroupVBBY" localSheetId="4">'GVEB|0199-00'!$M$39</definedName>
    <definedName name="AdjGroupVBBY">'B6'!$M$39</definedName>
    <definedName name="AdjPermHlth" localSheetId="0">'GVEA|0125-00'!$H$38</definedName>
    <definedName name="AdjPermHlth" localSheetId="1">'GVEA|0348-00'!$H$38</definedName>
    <definedName name="AdjPermHlth" localSheetId="2">'GVEA|0349-00'!$H$38</definedName>
    <definedName name="AdjPermHlth" localSheetId="3">'GVEA|0494-00'!$H$38</definedName>
    <definedName name="AdjPermHlth" localSheetId="4">'GVEB|0199-00'!$H$38</definedName>
    <definedName name="AdjPermHlth">'B6'!$H$38</definedName>
    <definedName name="AdjPermHlthBY" localSheetId="0">'GVEA|0125-00'!$L$38</definedName>
    <definedName name="AdjPermHlthBY" localSheetId="1">'GVEA|0348-00'!$L$38</definedName>
    <definedName name="AdjPermHlthBY" localSheetId="2">'GVEA|0349-00'!$L$38</definedName>
    <definedName name="AdjPermHlthBY" localSheetId="3">'GVEA|0494-00'!$L$38</definedName>
    <definedName name="AdjPermHlthBY" localSheetId="4">'GVEB|0199-00'!$L$38</definedName>
    <definedName name="AdjPermHlthBY">'B6'!$L$38</definedName>
    <definedName name="AdjPermSalary" localSheetId="0">'GVEA|0125-00'!$G$38</definedName>
    <definedName name="AdjPermSalary" localSheetId="1">'GVEA|0348-00'!$G$38</definedName>
    <definedName name="AdjPermSalary" localSheetId="2">'GVEA|0349-00'!$G$38</definedName>
    <definedName name="AdjPermSalary" localSheetId="3">'GVEA|0494-00'!$G$38</definedName>
    <definedName name="AdjPermSalary" localSheetId="4">'GVEB|0199-00'!$G$38</definedName>
    <definedName name="AdjPermSalary">'B6'!$G$38</definedName>
    <definedName name="AdjPermVB" localSheetId="0">'GVEA|0125-00'!$I$38</definedName>
    <definedName name="AdjPermVB" localSheetId="1">'GVEA|0348-00'!$I$38</definedName>
    <definedName name="AdjPermVB" localSheetId="2">'GVEA|0349-00'!$I$38</definedName>
    <definedName name="AdjPermVB" localSheetId="3">'GVEA|0494-00'!$I$38</definedName>
    <definedName name="AdjPermVB" localSheetId="4">'GVEB|0199-00'!$I$38</definedName>
    <definedName name="AdjPermVB">'B6'!$I$38</definedName>
    <definedName name="AdjPermVBBY" localSheetId="0">'GVEA|0125-00'!$M$38</definedName>
    <definedName name="AdjPermVBBY" localSheetId="1">'GVEA|0348-00'!$M$38</definedName>
    <definedName name="AdjPermVBBY" localSheetId="2">'GVEA|0349-00'!$M$38</definedName>
    <definedName name="AdjPermVBBY" localSheetId="3">'GVEA|0494-00'!$M$38</definedName>
    <definedName name="AdjPermVBBY" localSheetId="4">'GVEB|0199-00'!$M$38</definedName>
    <definedName name="AdjPermVBBY">'B6'!$M$38</definedName>
    <definedName name="AdjustedTotal" localSheetId="0">'GVEA|0125-00'!$J$16</definedName>
    <definedName name="AdjustedTotal" localSheetId="1">'GVEA|0348-00'!$J$16</definedName>
    <definedName name="AdjustedTotal" localSheetId="2">'GVEA|0349-00'!$J$16</definedName>
    <definedName name="AdjustedTotal" localSheetId="3">'GVEA|0494-00'!$J$16</definedName>
    <definedName name="AdjustedTotal" localSheetId="4">'GVEB|0199-00'!$J$16</definedName>
    <definedName name="AdjustedTotal">'B6'!$J$16</definedName>
    <definedName name="AgencyNum" localSheetId="0">'GVEA|0125-00'!$M$1</definedName>
    <definedName name="AgencyNum" localSheetId="1">'GVEA|0348-00'!$M$1</definedName>
    <definedName name="AgencyNum" localSheetId="2">'GVEA|0349-00'!$M$1</definedName>
    <definedName name="AgencyNum" localSheetId="3">'GVEA|0494-00'!$M$1</definedName>
    <definedName name="AgencyNum" localSheetId="4">'GVEB|0199-00'!$M$1</definedName>
    <definedName name="AgencyNum">'B6'!$M$1</definedName>
    <definedName name="AppropFTP" localSheetId="0">'GVEA|0125-00'!$F$15</definedName>
    <definedName name="AppropFTP" localSheetId="1">'GVEA|0348-00'!$F$15</definedName>
    <definedName name="AppropFTP" localSheetId="2">'GVEA|0349-00'!$F$15</definedName>
    <definedName name="AppropFTP" localSheetId="3">'GVEA|0494-00'!$F$15</definedName>
    <definedName name="AppropFTP" localSheetId="4">'GVEB|0199-00'!$F$15</definedName>
    <definedName name="AppropFTP">'B6'!$F$15</definedName>
    <definedName name="AppropTotal" localSheetId="0">'GVEA|0125-00'!$J$15</definedName>
    <definedName name="AppropTotal" localSheetId="1">'GVEA|0348-00'!$J$15</definedName>
    <definedName name="AppropTotal" localSheetId="2">'GVEA|0349-00'!$J$15</definedName>
    <definedName name="AppropTotal" localSheetId="3">'GVEA|0494-00'!$J$15</definedName>
    <definedName name="AppropTotal" localSheetId="4">'GVEB|0199-00'!$J$15</definedName>
    <definedName name="AppropTotal">'B6'!$J$15</definedName>
    <definedName name="AtZHealth" localSheetId="0">'GVEA|0125-00'!$H$45</definedName>
    <definedName name="AtZHealth" localSheetId="1">'GVEA|0348-00'!$H$45</definedName>
    <definedName name="AtZHealth" localSheetId="2">'GVEA|0349-00'!$H$45</definedName>
    <definedName name="AtZHealth" localSheetId="3">'GVEA|0494-00'!$H$45</definedName>
    <definedName name="AtZHealth" localSheetId="4">'GVEB|0199-00'!$H$45</definedName>
    <definedName name="AtZHealth">'B6'!$H$45</definedName>
    <definedName name="AtZSalary" localSheetId="0">'GVEA|0125-00'!$G$45</definedName>
    <definedName name="AtZSalary" localSheetId="1">'GVEA|0348-00'!$G$45</definedName>
    <definedName name="AtZSalary" localSheetId="2">'GVEA|0349-00'!$G$45</definedName>
    <definedName name="AtZSalary" localSheetId="3">'GVEA|0494-00'!$G$45</definedName>
    <definedName name="AtZSalary" localSheetId="4">'GVEB|0199-00'!$G$45</definedName>
    <definedName name="AtZSalary">'B6'!$G$45</definedName>
    <definedName name="AtZTotal" localSheetId="0">'GVEA|0125-00'!$J$45</definedName>
    <definedName name="AtZTotal" localSheetId="1">'GVEA|0348-00'!$J$45</definedName>
    <definedName name="AtZTotal" localSheetId="2">'GVEA|0349-00'!$J$45</definedName>
    <definedName name="AtZTotal" localSheetId="3">'GVEA|0494-00'!$J$45</definedName>
    <definedName name="AtZTotal" localSheetId="4">'GVEB|0199-00'!$J$45</definedName>
    <definedName name="AtZTotal">'B6'!$J$45</definedName>
    <definedName name="AtZVarBen" localSheetId="0">'GVEA|0125-00'!$I$45</definedName>
    <definedName name="AtZVarBen" localSheetId="1">'GVEA|0348-00'!$I$45</definedName>
    <definedName name="AtZVarBen" localSheetId="2">'GVEA|0349-00'!$I$45</definedName>
    <definedName name="AtZVarBen" localSheetId="3">'GVEA|0494-00'!$I$45</definedName>
    <definedName name="AtZVarBen" localSheetId="4">'GVEB|0199-00'!$I$45</definedName>
    <definedName name="AtZVarBen">'B6'!$I$45</definedName>
    <definedName name="BudgetUnit" localSheetId="0">'GVEA|0125-00'!$M$3</definedName>
    <definedName name="BudgetUnit" localSheetId="1">'GVEA|0348-00'!$M$3</definedName>
    <definedName name="BudgetUnit" localSheetId="2">'GVEA|0349-00'!$M$3</definedName>
    <definedName name="BudgetUnit" localSheetId="3">'GVEA|0494-00'!$M$3</definedName>
    <definedName name="BudgetUnit" localSheetId="4">'GVEB|0199-00'!$M$3</definedName>
    <definedName name="BudgetUnit">'B6'!$M$3</definedName>
    <definedName name="BudgetYear">Benefits!$D$4</definedName>
    <definedName name="CECGroup">Benefits!$C$39</definedName>
    <definedName name="CECOrigElectSalary" localSheetId="0">'GVEA|0125-00'!$G$74</definedName>
    <definedName name="CECOrigElectSalary" localSheetId="1">'GVEA|0348-00'!$G$74</definedName>
    <definedName name="CECOrigElectSalary" localSheetId="2">'GVEA|0349-00'!$G$74</definedName>
    <definedName name="CECOrigElectSalary" localSheetId="3">'GVEA|0494-00'!$G$74</definedName>
    <definedName name="CECOrigElectSalary" localSheetId="4">'GVEB|0199-00'!$G$74</definedName>
    <definedName name="CECOrigElectSalary">'B6'!$G$74</definedName>
    <definedName name="CECOrigElectVB" localSheetId="0">'GVEA|0125-00'!$I$74</definedName>
    <definedName name="CECOrigElectVB" localSheetId="1">'GVEA|0348-00'!$I$74</definedName>
    <definedName name="CECOrigElectVB" localSheetId="2">'GVEA|0349-00'!$I$74</definedName>
    <definedName name="CECOrigElectVB" localSheetId="3">'GVEA|0494-00'!$I$74</definedName>
    <definedName name="CECOrigElectVB" localSheetId="4">'GVEB|0199-00'!$I$74</definedName>
    <definedName name="CECOrigElectVB">'B6'!$I$74</definedName>
    <definedName name="CECOrigGroupSalary" localSheetId="0">'GVEA|0125-00'!$G$73</definedName>
    <definedName name="CECOrigGroupSalary" localSheetId="1">'GVEA|0348-00'!$G$73</definedName>
    <definedName name="CECOrigGroupSalary" localSheetId="2">'GVEA|0349-00'!$G$73</definedName>
    <definedName name="CECOrigGroupSalary" localSheetId="3">'GVEA|0494-00'!$G$73</definedName>
    <definedName name="CECOrigGroupSalary" localSheetId="4">'GVEB|0199-00'!$G$73</definedName>
    <definedName name="CECOrigGroupSalary">'B6'!$G$73</definedName>
    <definedName name="CECOrigGroupVB" localSheetId="0">'GVEA|0125-00'!$I$73</definedName>
    <definedName name="CECOrigGroupVB" localSheetId="1">'GVEA|0348-00'!$I$73</definedName>
    <definedName name="CECOrigGroupVB" localSheetId="2">'GVEA|0349-00'!$I$73</definedName>
    <definedName name="CECOrigGroupVB" localSheetId="3">'GVEA|0494-00'!$I$73</definedName>
    <definedName name="CECOrigGroupVB" localSheetId="4">'GVEB|0199-00'!$I$73</definedName>
    <definedName name="CECOrigGroupVB">'B6'!$I$73</definedName>
    <definedName name="CECOrigPermSalary" localSheetId="0">'GVEA|0125-00'!$G$72</definedName>
    <definedName name="CECOrigPermSalary" localSheetId="1">'GVEA|0348-00'!$G$72</definedName>
    <definedName name="CECOrigPermSalary" localSheetId="2">'GVEA|0349-00'!$G$72</definedName>
    <definedName name="CECOrigPermSalary" localSheetId="3">'GVEA|0494-00'!$G$72</definedName>
    <definedName name="CECOrigPermSalary" localSheetId="4">'GVEB|0199-00'!$G$72</definedName>
    <definedName name="CECOrigPermSalary">'B6'!$G$72</definedName>
    <definedName name="CECOrigPermVB" localSheetId="0">'GVEA|0125-00'!$I$72</definedName>
    <definedName name="CECOrigPermVB" localSheetId="1">'GVEA|0348-00'!$I$72</definedName>
    <definedName name="CECOrigPermVB" localSheetId="2">'GVEA|0349-00'!$I$72</definedName>
    <definedName name="CECOrigPermVB" localSheetId="3">'GVEA|0494-00'!$I$72</definedName>
    <definedName name="CECOrigPermVB" localSheetId="4">'GVEB|0199-00'!$I$72</definedName>
    <definedName name="CECOrigPermVB">'B6'!$I$72</definedName>
    <definedName name="CECPerm">Benefits!$C$38</definedName>
    <definedName name="CECpermCalc" localSheetId="0">'GVEA|0125-00'!$E$72</definedName>
    <definedName name="CECpermCalc" localSheetId="1">'GVEA|0348-00'!$E$72</definedName>
    <definedName name="CECpermCalc" localSheetId="2">'GVEA|0349-00'!$E$72</definedName>
    <definedName name="CECpermCalc" localSheetId="3">'GVEA|0494-00'!$E$72</definedName>
    <definedName name="CECpermCalc" localSheetId="4">'GVEB|0199-00'!$E$72</definedName>
    <definedName name="CECpermCalc">'B6'!$E$72</definedName>
    <definedName name="Department" localSheetId="0">'GVEA|0125-00'!$D$1</definedName>
    <definedName name="Department" localSheetId="1">'GVEA|0348-00'!$D$1</definedName>
    <definedName name="Department" localSheetId="2">'GVEA|0349-00'!$D$1</definedName>
    <definedName name="Department" localSheetId="3">'GVEA|0494-00'!$D$1</definedName>
    <definedName name="Department" localSheetId="4">'GVEB|0199-00'!$D$1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'GVEA|0125-00'!$D$2</definedName>
    <definedName name="Division" localSheetId="1">'GVEA|0348-00'!$D$2</definedName>
    <definedName name="Division" localSheetId="2">'GVEA|0349-00'!$D$2</definedName>
    <definedName name="Division" localSheetId="3">'GVEA|0494-00'!$D$2</definedName>
    <definedName name="Division" localSheetId="4">'GVEB|0199-00'!$D$2</definedName>
    <definedName name="Division">'B6'!$D$2</definedName>
    <definedName name="DUCECElect" localSheetId="0">'GVEA|0125-00'!$J$74</definedName>
    <definedName name="DUCECElect" localSheetId="1">'GVEA|0348-00'!$J$74</definedName>
    <definedName name="DUCECElect" localSheetId="2">'GVEA|0349-00'!$J$74</definedName>
    <definedName name="DUCECElect" localSheetId="3">'GVEA|0494-00'!$J$74</definedName>
    <definedName name="DUCECElect" localSheetId="4">'GVEB|0199-00'!$J$74</definedName>
    <definedName name="DUCECElect">'B6'!$J$74</definedName>
    <definedName name="DUCECGroup" localSheetId="0">'GVEA|0125-00'!$J$73</definedName>
    <definedName name="DUCECGroup" localSheetId="1">'GVEA|0348-00'!$J$73</definedName>
    <definedName name="DUCECGroup" localSheetId="2">'GVEA|0349-00'!$J$73</definedName>
    <definedName name="DUCECGroup" localSheetId="3">'GVEA|0494-00'!$J$73</definedName>
    <definedName name="DUCECGroup" localSheetId="4">'GVEB|0199-00'!$J$73</definedName>
    <definedName name="DUCECGroup">'B6'!$J$73</definedName>
    <definedName name="DUCECPerm" localSheetId="0">'GVEA|0125-00'!$J$72</definedName>
    <definedName name="DUCECPerm" localSheetId="1">'GVEA|0348-00'!$J$72</definedName>
    <definedName name="DUCECPerm" localSheetId="2">'GVEA|0349-00'!$J$72</definedName>
    <definedName name="DUCECPerm" localSheetId="3">'GVEA|0494-00'!$J$72</definedName>
    <definedName name="DUCECPerm" localSheetId="4">'GVEB|0199-00'!$J$72</definedName>
    <definedName name="DUCECPerm">'B6'!$J$72</definedName>
    <definedName name="DUEleven" localSheetId="0">'GVEA|0125-00'!$J$75</definedName>
    <definedName name="DUEleven" localSheetId="1">'GVEA|0348-00'!$J$75</definedName>
    <definedName name="DUEleven" localSheetId="2">'GVEA|0349-00'!$J$75</definedName>
    <definedName name="DUEleven" localSheetId="3">'GVEA|0494-00'!$J$75</definedName>
    <definedName name="DUEleven" localSheetId="4">'GVEB|0199-00'!$J$75</definedName>
    <definedName name="DUEleven">'B6'!$J$75</definedName>
    <definedName name="DUHealthBen" localSheetId="0">'GVEA|0125-00'!$J$68</definedName>
    <definedName name="DUHealthBen" localSheetId="1">'GVEA|0348-00'!$J$68</definedName>
    <definedName name="DUHealthBen" localSheetId="2">'GVEA|0349-00'!$J$68</definedName>
    <definedName name="DUHealthBen" localSheetId="3">'GVEA|0494-00'!$J$68</definedName>
    <definedName name="DUHealthBen" localSheetId="4">'GVEB|0199-00'!$J$68</definedName>
    <definedName name="DUHealthBen">'B6'!$J$68</definedName>
    <definedName name="DUNine" localSheetId="0">'GVEA|0125-00'!$J$67</definedName>
    <definedName name="DUNine" localSheetId="1">'GVEA|0348-00'!$J$67</definedName>
    <definedName name="DUNine" localSheetId="2">'GVEA|0349-00'!$J$67</definedName>
    <definedName name="DUNine" localSheetId="3">'GVEA|0494-00'!$J$67</definedName>
    <definedName name="DUNine" localSheetId="4">'GVEB|0199-00'!$J$67</definedName>
    <definedName name="DUNine">'B6'!$J$67</definedName>
    <definedName name="DUThirteen" localSheetId="0">'GVEA|0125-00'!$J$80</definedName>
    <definedName name="DUThirteen" localSheetId="1">'GVEA|0348-00'!$J$80</definedName>
    <definedName name="DUThirteen" localSheetId="2">'GVEA|0349-00'!$J$80</definedName>
    <definedName name="DUThirteen" localSheetId="3">'GVEA|0494-00'!$J$80</definedName>
    <definedName name="DUThirteen" localSheetId="4">'GVEB|0199-00'!$J$80</definedName>
    <definedName name="DUThirteen">'B6'!$J$80</definedName>
    <definedName name="DUVariableBen" localSheetId="0">'GVEA|0125-00'!$J$69</definedName>
    <definedName name="DUVariableBen" localSheetId="1">'GVEA|0348-00'!$J$69</definedName>
    <definedName name="DUVariableBen" localSheetId="2">'GVEA|0349-00'!$J$69</definedName>
    <definedName name="DUVariableBen" localSheetId="3">'GVEA|0494-00'!$J$69</definedName>
    <definedName name="DUVariableBen" localSheetId="4">'GVEB|0199-00'!$J$69</definedName>
    <definedName name="DUVariableBen">'B6'!$J$69</definedName>
    <definedName name="Elect_chg_health" localSheetId="0">'GVEA|0125-00'!$L$12</definedName>
    <definedName name="Elect_chg_health" localSheetId="1">'GVEA|0348-00'!$L$12</definedName>
    <definedName name="Elect_chg_health" localSheetId="2">'GVEA|0349-00'!$L$12</definedName>
    <definedName name="Elect_chg_health" localSheetId="3">'GVEA|0494-00'!$L$12</definedName>
    <definedName name="Elect_chg_health" localSheetId="4">'GVEB|0199-00'!$L$12</definedName>
    <definedName name="Elect_chg_health">'B6'!$L$12</definedName>
    <definedName name="Elect_chg_Var" localSheetId="0">'GVEA|0125-00'!$M$12</definedName>
    <definedName name="Elect_chg_Var" localSheetId="1">'GVEA|0348-00'!$M$12</definedName>
    <definedName name="Elect_chg_Var" localSheetId="2">'GVEA|0349-00'!$M$12</definedName>
    <definedName name="Elect_chg_Var" localSheetId="3">'GVEA|0494-00'!$M$12</definedName>
    <definedName name="Elect_chg_Var" localSheetId="4">'GVEB|0199-00'!$M$12</definedName>
    <definedName name="Elect_chg_Var">'B6'!$M$12</definedName>
    <definedName name="elect_FTP" localSheetId="0">'GVEA|0125-00'!$F$12</definedName>
    <definedName name="elect_FTP" localSheetId="1">'GVEA|0348-00'!$F$12</definedName>
    <definedName name="elect_FTP" localSheetId="2">'GVEA|0349-00'!$F$12</definedName>
    <definedName name="elect_FTP" localSheetId="3">'GVEA|0494-00'!$F$12</definedName>
    <definedName name="elect_FTP" localSheetId="4">'GVEB|0199-00'!$F$12</definedName>
    <definedName name="elect_FTP">'B6'!$F$12</definedName>
    <definedName name="Elect_health" localSheetId="0">'GVEA|0125-00'!$H$12</definedName>
    <definedName name="Elect_health" localSheetId="1">'GVEA|0348-00'!$H$12</definedName>
    <definedName name="Elect_health" localSheetId="2">'GVEA|0349-00'!$H$12</definedName>
    <definedName name="Elect_health" localSheetId="3">'GVEA|0494-00'!$H$12</definedName>
    <definedName name="Elect_health" localSheetId="4">'GVEB|0199-00'!$H$12</definedName>
    <definedName name="Elect_health">'B6'!$H$12</definedName>
    <definedName name="Elect_name" localSheetId="0">'GVEA|0125-00'!$C$12</definedName>
    <definedName name="Elect_name" localSheetId="1">'GVEA|0348-00'!$C$12</definedName>
    <definedName name="Elect_name" localSheetId="2">'GVEA|0349-00'!$C$12</definedName>
    <definedName name="Elect_name" localSheetId="3">'GVEA|0494-00'!$C$12</definedName>
    <definedName name="Elect_name" localSheetId="4">'GVEB|0199-00'!$C$12</definedName>
    <definedName name="Elect_name">'B6'!$C$12</definedName>
    <definedName name="Elect_salary" localSheetId="0">'GVEA|0125-00'!$G$12</definedName>
    <definedName name="Elect_salary" localSheetId="1">'GVEA|0348-00'!$G$12</definedName>
    <definedName name="Elect_salary" localSheetId="2">'GVEA|0349-00'!$G$12</definedName>
    <definedName name="Elect_salary" localSheetId="3">'GVEA|0494-00'!$G$12</definedName>
    <definedName name="Elect_salary" localSheetId="4">'GVEB|0199-00'!$G$12</definedName>
    <definedName name="Elect_salary">'B6'!$G$12</definedName>
    <definedName name="Elect_Var" localSheetId="0">'GVEA|0125-00'!$I$12</definedName>
    <definedName name="Elect_Var" localSheetId="1">'GVEA|0348-00'!$I$12</definedName>
    <definedName name="Elect_Var" localSheetId="2">'GVEA|0349-00'!$I$12</definedName>
    <definedName name="Elect_Var" localSheetId="3">'GVEA|0494-00'!$I$12</definedName>
    <definedName name="Elect_Var" localSheetId="4">'GVEB|0199-00'!$I$12</definedName>
    <definedName name="Elect_Var">'B6'!$I$12</definedName>
    <definedName name="Elect_VarBen" localSheetId="0">'GVEA|0125-00'!$I$12</definedName>
    <definedName name="Elect_VarBen" localSheetId="1">'GVEA|0348-00'!$I$12</definedName>
    <definedName name="Elect_VarBen" localSheetId="2">'GVEA|0349-00'!$I$12</definedName>
    <definedName name="Elect_VarBen" localSheetId="3">'GVEA|0494-00'!$I$12</definedName>
    <definedName name="Elect_VarBen" localSheetId="4">'GVEB|0199-00'!$I$12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'GVEA|0125-00'!#REF!</definedName>
    <definedName name="FillRateAvg_B6" localSheetId="1">'GVEA|0348-00'!#REF!</definedName>
    <definedName name="FillRateAvg_B6" localSheetId="2">'GVEA|0349-00'!#REF!</definedName>
    <definedName name="FillRateAvg_B6" localSheetId="3">'GVEA|0494-00'!#REF!</definedName>
    <definedName name="FillRateAvg_B6" localSheetId="4">'GVEB|0199-00'!#REF!</definedName>
    <definedName name="FillRateAvg_B6">'B6'!#REF!</definedName>
    <definedName name="FiscalYear" localSheetId="0">'GVEA|0125-00'!$M$4</definedName>
    <definedName name="FiscalYear" localSheetId="1">'GVEA|0348-00'!$M$4</definedName>
    <definedName name="FiscalYear" localSheetId="2">'GVEA|0349-00'!$M$4</definedName>
    <definedName name="FiscalYear" localSheetId="3">'GVEA|0494-00'!$M$4</definedName>
    <definedName name="FiscalYear" localSheetId="4">'GVEB|0199-00'!$M$4</definedName>
    <definedName name="FiscalYear">'B6'!$M$4</definedName>
    <definedName name="FundName" localSheetId="0">'GVEA|0125-00'!$I$5</definedName>
    <definedName name="FundName" localSheetId="1">'GVEA|0348-00'!$I$5</definedName>
    <definedName name="FundName" localSheetId="2">'GVEA|0349-00'!$I$5</definedName>
    <definedName name="FundName" localSheetId="3">'GVEA|0494-00'!$I$5</definedName>
    <definedName name="FundName" localSheetId="4">'GVEB|0199-00'!$I$5</definedName>
    <definedName name="FundName">'B6'!$I$5</definedName>
    <definedName name="FundNum" localSheetId="0">'GVEA|0125-00'!$N$5</definedName>
    <definedName name="FundNum" localSheetId="1">'GVEA|0348-00'!$N$5</definedName>
    <definedName name="FundNum" localSheetId="2">'GVEA|0349-00'!$N$5</definedName>
    <definedName name="FundNum" localSheetId="3">'GVEA|0494-00'!$N$5</definedName>
    <definedName name="FundNum" localSheetId="4">'GVEB|0199-00'!$N$5</definedName>
    <definedName name="FundNum">'B6'!$N$5</definedName>
    <definedName name="FundNumber" localSheetId="0">'GVEA|0125-00'!$N$5</definedName>
    <definedName name="FundNumber" localSheetId="1">'GVEA|0348-00'!$N$5</definedName>
    <definedName name="FundNumber" localSheetId="2">'GVEA|0349-00'!$N$5</definedName>
    <definedName name="FundNumber" localSheetId="3">'GVEA|0494-00'!$N$5</definedName>
    <definedName name="FundNumber" localSheetId="4">'GVEB|0199-00'!$N$5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'GVEA|0125-00'!$C$11</definedName>
    <definedName name="Group_name" localSheetId="1">'GVEA|0348-00'!$C$11</definedName>
    <definedName name="Group_name" localSheetId="2">'GVEA|0349-00'!$C$11</definedName>
    <definedName name="Group_name" localSheetId="3">'GVEA|0494-00'!$C$11</definedName>
    <definedName name="Group_name" localSheetId="4">'GVEB|0199-00'!$C$11</definedName>
    <definedName name="Group_name">'B6'!$C$11</definedName>
    <definedName name="GroupFxdBen" localSheetId="0">'GVEA|0125-00'!$H$11</definedName>
    <definedName name="GroupFxdBen" localSheetId="1">'GVEA|0348-00'!$H$11</definedName>
    <definedName name="GroupFxdBen" localSheetId="2">'GVEA|0349-00'!$H$11</definedName>
    <definedName name="GroupFxdBen" localSheetId="3">'GVEA|0494-00'!$H$11</definedName>
    <definedName name="GroupFxdBen" localSheetId="4">'GVEB|0199-00'!$H$11</definedName>
    <definedName name="GroupFxdBen">'B6'!$H$11</definedName>
    <definedName name="GroupSalary" localSheetId="0">'GVEA|0125-00'!$G$11</definedName>
    <definedName name="GroupSalary" localSheetId="1">'GVEA|0348-00'!$G$11</definedName>
    <definedName name="GroupSalary" localSheetId="2">'GVEA|0349-00'!$G$11</definedName>
    <definedName name="GroupSalary" localSheetId="3">'GVEA|0494-00'!$G$11</definedName>
    <definedName name="GroupSalary" localSheetId="4">'GVEB|0199-00'!$G$11</definedName>
    <definedName name="GroupSalary">'B6'!$G$11</definedName>
    <definedName name="GroupVarBen" localSheetId="0">'GVEA|0125-00'!$I$11</definedName>
    <definedName name="GroupVarBen" localSheetId="1">'GVEA|0348-00'!$I$11</definedName>
    <definedName name="GroupVarBen" localSheetId="2">'GVEA|0349-00'!$I$11</definedName>
    <definedName name="GroupVarBen" localSheetId="3">'GVEA|0494-00'!$I$11</definedName>
    <definedName name="GroupVarBen" localSheetId="4">'GVEB|0199-00'!$I$11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EA012500col_1_27TH_PP">Data!$BA$37</definedName>
    <definedName name="GVEA012500col_DHR">Data!$BI$37</definedName>
    <definedName name="GVEA012500col_DHR_BY">Data!$BU$37</definedName>
    <definedName name="GVEA012500col_DHR_CHG">Data!$CG$37</definedName>
    <definedName name="GVEA012500col_FTI_SALARY_ELECT">Data!$AZ$37</definedName>
    <definedName name="GVEA012500col_FTI_SALARY_PERM">Data!$AY$37</definedName>
    <definedName name="GVEA012500col_FTI_SALARY_SSDI">Data!$AX$37</definedName>
    <definedName name="GVEA012500col_Group_Ben">Data!$CM$37</definedName>
    <definedName name="GVEA012500col_Group_Salary">Data!$CL$37</definedName>
    <definedName name="GVEA012500col_HEALTH_ELECT">Data!$BC$37</definedName>
    <definedName name="GVEA012500col_HEALTH_ELECT_BY">Data!$BO$37</definedName>
    <definedName name="GVEA012500col_HEALTH_ELECT_CHG">Data!$CA$37</definedName>
    <definedName name="GVEA012500col_HEALTH_PERM">Data!$BB$37</definedName>
    <definedName name="GVEA012500col_HEALTH_PERM_BY">Data!$BN$37</definedName>
    <definedName name="GVEA012500col_HEALTH_PERM_CHG">Data!$BZ$37</definedName>
    <definedName name="GVEA012500col_INC_FTI">Data!$AS$37</definedName>
    <definedName name="GVEA012500col_LIFE_INS">Data!$BG$37</definedName>
    <definedName name="GVEA012500col_LIFE_INS_BY">Data!$BS$37</definedName>
    <definedName name="GVEA012500col_LIFE_INS_CHG">Data!$CE$37</definedName>
    <definedName name="GVEA012500col_RETIREMENT">Data!$BF$37</definedName>
    <definedName name="GVEA012500col_RETIREMENT_BY">Data!$BR$37</definedName>
    <definedName name="GVEA012500col_RETIREMENT_CHG">Data!$CD$37</definedName>
    <definedName name="GVEA012500col_ROWS_PER_PCN">Data!$AW$37</definedName>
    <definedName name="GVEA012500col_SICK">Data!$BK$37</definedName>
    <definedName name="GVEA012500col_SICK_BY">Data!$BW$37</definedName>
    <definedName name="GVEA012500col_SICK_CHG">Data!$CI$37</definedName>
    <definedName name="GVEA012500col_SSDI">Data!$BD$37</definedName>
    <definedName name="GVEA012500col_SSDI_BY">Data!$BP$37</definedName>
    <definedName name="GVEA012500col_SSDI_CHG">Data!$CB$37</definedName>
    <definedName name="GVEA012500col_SSHI">Data!$BE$37</definedName>
    <definedName name="GVEA012500col_SSHI_BY">Data!$BQ$37</definedName>
    <definedName name="GVEA012500col_SSHI_CHGv">Data!$CC$37</definedName>
    <definedName name="GVEA012500col_TOT_VB_ELECT">Data!$BM$37</definedName>
    <definedName name="GVEA012500col_TOT_VB_ELECT_BY">Data!$BY$37</definedName>
    <definedName name="GVEA012500col_TOT_VB_ELECT_CHG">Data!$CK$37</definedName>
    <definedName name="GVEA012500col_TOT_VB_PERM">Data!$BL$37</definedName>
    <definedName name="GVEA012500col_TOT_VB_PERM_BY">Data!$BX$37</definedName>
    <definedName name="GVEA012500col_TOT_VB_PERM_CHG">Data!$CJ$37</definedName>
    <definedName name="GVEA012500col_TOTAL_ELECT_PCN_FTI">Data!$AT$37</definedName>
    <definedName name="GVEA012500col_TOTAL_ELECT_PCN_FTI_ALT">Data!$AV$37</definedName>
    <definedName name="GVEA012500col_TOTAL_PERM_PCN_FTI">Data!$AU$37</definedName>
    <definedName name="GVEA012500col_UNEMP_INS">Data!$BH$37</definedName>
    <definedName name="GVEA012500col_UNEMP_INS_BY">Data!$BT$37</definedName>
    <definedName name="GVEA012500col_UNEMP_INS_CHG">Data!$CF$37</definedName>
    <definedName name="GVEA012500col_WORKERS_COMP">Data!$BJ$37</definedName>
    <definedName name="GVEA012500col_WORKERS_COMP_BY">Data!$BV$37</definedName>
    <definedName name="GVEA012500col_WORKERS_COMP_CHG">Data!$CH$37</definedName>
    <definedName name="GVEA034800col_1_27TH_PP">Data!$BA$39</definedName>
    <definedName name="GVEA034800col_DHR">Data!$BI$39</definedName>
    <definedName name="GVEA034800col_DHR_BY">Data!$BU$39</definedName>
    <definedName name="GVEA034800col_DHR_CHG">Data!$CG$39</definedName>
    <definedName name="GVEA034800col_FTI_SALARY_ELECT">Data!$AZ$39</definedName>
    <definedName name="GVEA034800col_FTI_SALARY_PERM">Data!$AY$39</definedName>
    <definedName name="GVEA034800col_FTI_SALARY_SSDI">Data!$AX$39</definedName>
    <definedName name="GVEA034800col_Group_Ben">Data!$CM$39</definedName>
    <definedName name="GVEA034800col_Group_Salary">Data!$CL$39</definedName>
    <definedName name="GVEA034800col_HEALTH_ELECT">Data!$BC$39</definedName>
    <definedName name="GVEA034800col_HEALTH_ELECT_BY">Data!$BO$39</definedName>
    <definedName name="GVEA034800col_HEALTH_ELECT_CHG">Data!$CA$39</definedName>
    <definedName name="GVEA034800col_HEALTH_PERM">Data!$BB$39</definedName>
    <definedName name="GVEA034800col_HEALTH_PERM_BY">Data!$BN$39</definedName>
    <definedName name="GVEA034800col_HEALTH_PERM_CHG">Data!$BZ$39</definedName>
    <definedName name="GVEA034800col_INC_FTI">Data!$AS$39</definedName>
    <definedName name="GVEA034800col_LIFE_INS">Data!$BG$39</definedName>
    <definedName name="GVEA034800col_LIFE_INS_BY">Data!$BS$39</definedName>
    <definedName name="GVEA034800col_LIFE_INS_CHG">Data!$CE$39</definedName>
    <definedName name="GVEA034800col_RETIREMENT">Data!$BF$39</definedName>
    <definedName name="GVEA034800col_RETIREMENT_BY">Data!$BR$39</definedName>
    <definedName name="GVEA034800col_RETIREMENT_CHG">Data!$CD$39</definedName>
    <definedName name="GVEA034800col_ROWS_PER_PCN">Data!$AW$39</definedName>
    <definedName name="GVEA034800col_SICK">Data!$BK$39</definedName>
    <definedName name="GVEA034800col_SICK_BY">Data!$BW$39</definedName>
    <definedName name="GVEA034800col_SICK_CHG">Data!$CI$39</definedName>
    <definedName name="GVEA034800col_SSDI">Data!$BD$39</definedName>
    <definedName name="GVEA034800col_SSDI_BY">Data!$BP$39</definedName>
    <definedName name="GVEA034800col_SSDI_CHG">Data!$CB$39</definedName>
    <definedName name="GVEA034800col_SSHI">Data!$BE$39</definedName>
    <definedName name="GVEA034800col_SSHI_BY">Data!$BQ$39</definedName>
    <definedName name="GVEA034800col_SSHI_CHGv">Data!$CC$39</definedName>
    <definedName name="GVEA034800col_TOT_VB_ELECT">Data!$BM$39</definedName>
    <definedName name="GVEA034800col_TOT_VB_ELECT_BY">Data!$BY$39</definedName>
    <definedName name="GVEA034800col_TOT_VB_ELECT_CHG">Data!$CK$39</definedName>
    <definedName name="GVEA034800col_TOT_VB_PERM">Data!$BL$39</definedName>
    <definedName name="GVEA034800col_TOT_VB_PERM_BY">Data!$BX$39</definedName>
    <definedName name="GVEA034800col_TOT_VB_PERM_CHG">Data!$CJ$39</definedName>
    <definedName name="GVEA034800col_TOTAL_ELECT_PCN_FTI">Data!$AT$39</definedName>
    <definedName name="GVEA034800col_TOTAL_ELECT_PCN_FTI_ALT">Data!$AV$39</definedName>
    <definedName name="GVEA034800col_TOTAL_PERM_PCN_FTI">Data!$AU$39</definedName>
    <definedName name="GVEA034800col_UNEMP_INS">Data!$BH$39</definedName>
    <definedName name="GVEA034800col_UNEMP_INS_BY">Data!$BT$39</definedName>
    <definedName name="GVEA034800col_UNEMP_INS_CHG">Data!$CF$39</definedName>
    <definedName name="GVEA034800col_WORKERS_COMP">Data!$BJ$39</definedName>
    <definedName name="GVEA034800col_WORKERS_COMP_BY">Data!$BV$39</definedName>
    <definedName name="GVEA034800col_WORKERS_COMP_CHG">Data!$CH$39</definedName>
    <definedName name="GVEA034900col_1_27TH_PP">Data!$BA$41</definedName>
    <definedName name="GVEA034900col_DHR">Data!$BI$41</definedName>
    <definedName name="GVEA034900col_DHR_BY">Data!$BU$41</definedName>
    <definedName name="GVEA034900col_DHR_CHG">Data!$CG$41</definedName>
    <definedName name="GVEA034900col_FTI_SALARY_ELECT">Data!$AZ$41</definedName>
    <definedName name="GVEA034900col_FTI_SALARY_PERM">Data!$AY$41</definedName>
    <definedName name="GVEA034900col_FTI_SALARY_SSDI">Data!$AX$41</definedName>
    <definedName name="GVEA034900col_Group_Ben">Data!$CM$41</definedName>
    <definedName name="GVEA034900col_Group_Salary">Data!$CL$41</definedName>
    <definedName name="GVEA034900col_HEALTH_ELECT">Data!$BC$41</definedName>
    <definedName name="GVEA034900col_HEALTH_ELECT_BY">Data!$BO$41</definedName>
    <definedName name="GVEA034900col_HEALTH_ELECT_CHG">Data!$CA$41</definedName>
    <definedName name="GVEA034900col_HEALTH_PERM">Data!$BB$41</definedName>
    <definedName name="GVEA034900col_HEALTH_PERM_BY">Data!$BN$41</definedName>
    <definedName name="GVEA034900col_HEALTH_PERM_CHG">Data!$BZ$41</definedName>
    <definedName name="GVEA034900col_INC_FTI">Data!$AS$41</definedName>
    <definedName name="GVEA034900col_LIFE_INS">Data!$BG$41</definedName>
    <definedName name="GVEA034900col_LIFE_INS_BY">Data!$BS$41</definedName>
    <definedName name="GVEA034900col_LIFE_INS_CHG">Data!$CE$41</definedName>
    <definedName name="GVEA034900col_RETIREMENT">Data!$BF$41</definedName>
    <definedName name="GVEA034900col_RETIREMENT_BY">Data!$BR$41</definedName>
    <definedName name="GVEA034900col_RETIREMENT_CHG">Data!$CD$41</definedName>
    <definedName name="GVEA034900col_ROWS_PER_PCN">Data!$AW$41</definedName>
    <definedName name="GVEA034900col_SICK">Data!$BK$41</definedName>
    <definedName name="GVEA034900col_SICK_BY">Data!$BW$41</definedName>
    <definedName name="GVEA034900col_SICK_CHG">Data!$CI$41</definedName>
    <definedName name="GVEA034900col_SSDI">Data!$BD$41</definedName>
    <definedName name="GVEA034900col_SSDI_BY">Data!$BP$41</definedName>
    <definedName name="GVEA034900col_SSDI_CHG">Data!$CB$41</definedName>
    <definedName name="GVEA034900col_SSHI">Data!$BE$41</definedName>
    <definedName name="GVEA034900col_SSHI_BY">Data!$BQ$41</definedName>
    <definedName name="GVEA034900col_SSHI_CHGv">Data!$CC$41</definedName>
    <definedName name="GVEA034900col_TOT_VB_ELECT">Data!$BM$41</definedName>
    <definedName name="GVEA034900col_TOT_VB_ELECT_BY">Data!$BY$41</definedName>
    <definedName name="GVEA034900col_TOT_VB_ELECT_CHG">Data!$CK$41</definedName>
    <definedName name="GVEA034900col_TOT_VB_PERM">Data!$BL$41</definedName>
    <definedName name="GVEA034900col_TOT_VB_PERM_BY">Data!$BX$41</definedName>
    <definedName name="GVEA034900col_TOT_VB_PERM_CHG">Data!$CJ$41</definedName>
    <definedName name="GVEA034900col_TOTAL_ELECT_PCN_FTI">Data!$AT$41</definedName>
    <definedName name="GVEA034900col_TOTAL_ELECT_PCN_FTI_ALT">Data!$AV$41</definedName>
    <definedName name="GVEA034900col_TOTAL_PERM_PCN_FTI">Data!$AU$41</definedName>
    <definedName name="GVEA034900col_UNEMP_INS">Data!$BH$41</definedName>
    <definedName name="GVEA034900col_UNEMP_INS_BY">Data!$BT$41</definedName>
    <definedName name="GVEA034900col_UNEMP_INS_CHG">Data!$CF$41</definedName>
    <definedName name="GVEA034900col_WORKERS_COMP">Data!$BJ$41</definedName>
    <definedName name="GVEA034900col_WORKERS_COMP_BY">Data!$BV$41</definedName>
    <definedName name="GVEA034900col_WORKERS_COMP_CHG">Data!$CH$41</definedName>
    <definedName name="GVEA049400col_1_27TH_PP">Data!$BA$44</definedName>
    <definedName name="GVEA049400col_DHR">Data!$BI$44</definedName>
    <definedName name="GVEA049400col_DHR_BY">Data!$BU$44</definedName>
    <definedName name="GVEA049400col_DHR_CHG">Data!$CG$44</definedName>
    <definedName name="GVEA049400col_FTI_SALARY_ELECT">Data!$AZ$44</definedName>
    <definedName name="GVEA049400col_FTI_SALARY_PERM">Data!$AY$44</definedName>
    <definedName name="GVEA049400col_FTI_SALARY_SSDI">Data!$AX$44</definedName>
    <definedName name="GVEA049400col_Group_Ben">Data!$CM$44</definedName>
    <definedName name="GVEA049400col_Group_Salary">Data!$CL$44</definedName>
    <definedName name="GVEA049400col_HEALTH_ELECT">Data!$BC$44</definedName>
    <definedName name="GVEA049400col_HEALTH_ELECT_BY">Data!$BO$44</definedName>
    <definedName name="GVEA049400col_HEALTH_ELECT_CHG">Data!$CA$44</definedName>
    <definedName name="GVEA049400col_HEALTH_PERM">Data!$BB$44</definedName>
    <definedName name="GVEA049400col_HEALTH_PERM_BY">Data!$BN$44</definedName>
    <definedName name="GVEA049400col_HEALTH_PERM_CHG">Data!$BZ$44</definedName>
    <definedName name="GVEA049400col_INC_FTI">Data!$AS$44</definedName>
    <definedName name="GVEA049400col_LIFE_INS">Data!$BG$44</definedName>
    <definedName name="GVEA049400col_LIFE_INS_BY">Data!$BS$44</definedName>
    <definedName name="GVEA049400col_LIFE_INS_CHG">Data!$CE$44</definedName>
    <definedName name="GVEA049400col_RETIREMENT">Data!$BF$44</definedName>
    <definedName name="GVEA049400col_RETIREMENT_BY">Data!$BR$44</definedName>
    <definedName name="GVEA049400col_RETIREMENT_CHG">Data!$CD$44</definedName>
    <definedName name="GVEA049400col_ROWS_PER_PCN">Data!$AW$44</definedName>
    <definedName name="GVEA049400col_SICK">Data!$BK$44</definedName>
    <definedName name="GVEA049400col_SICK_BY">Data!$BW$44</definedName>
    <definedName name="GVEA049400col_SICK_CHG">Data!$CI$44</definedName>
    <definedName name="GVEA049400col_SSDI">Data!$BD$44</definedName>
    <definedName name="GVEA049400col_SSDI_BY">Data!$BP$44</definedName>
    <definedName name="GVEA049400col_SSDI_CHG">Data!$CB$44</definedName>
    <definedName name="GVEA049400col_SSHI">Data!$BE$44</definedName>
    <definedName name="GVEA049400col_SSHI_BY">Data!$BQ$44</definedName>
    <definedName name="GVEA049400col_SSHI_CHGv">Data!$CC$44</definedName>
    <definedName name="GVEA049400col_TOT_VB_ELECT">Data!$BM$44</definedName>
    <definedName name="GVEA049400col_TOT_VB_ELECT_BY">Data!$BY$44</definedName>
    <definedName name="GVEA049400col_TOT_VB_ELECT_CHG">Data!$CK$44</definedName>
    <definedName name="GVEA049400col_TOT_VB_PERM">Data!$BL$44</definedName>
    <definedName name="GVEA049400col_TOT_VB_PERM_BY">Data!$BX$44</definedName>
    <definedName name="GVEA049400col_TOT_VB_PERM_CHG">Data!$CJ$44</definedName>
    <definedName name="GVEA049400col_TOTAL_ELECT_PCN_FTI">Data!$AT$44</definedName>
    <definedName name="GVEA049400col_TOTAL_ELECT_PCN_FTI_ALT">Data!$AV$44</definedName>
    <definedName name="GVEA049400col_TOTAL_PERM_PCN_FTI">Data!$AU$44</definedName>
    <definedName name="GVEA049400col_UNEMP_INS">Data!$BH$44</definedName>
    <definedName name="GVEA049400col_UNEMP_INS_BY">Data!$BT$44</definedName>
    <definedName name="GVEA049400col_UNEMP_INS_CHG">Data!$CF$44</definedName>
    <definedName name="GVEA049400col_WORKERS_COMP">Data!$BJ$44</definedName>
    <definedName name="GVEA049400col_WORKERS_COMP_BY">Data!$BV$44</definedName>
    <definedName name="GVEA049400col_WORKERS_COMP_CHG">Data!$CH$44</definedName>
    <definedName name="GVEB019900col_1_27TH_PP">Data!$BA$46</definedName>
    <definedName name="GVEB019900col_DHR">Data!$BI$46</definedName>
    <definedName name="GVEB019900col_DHR_BY">Data!$BU$46</definedName>
    <definedName name="GVEB019900col_DHR_CHG">Data!$CG$46</definedName>
    <definedName name="GVEB019900col_FTI_SALARY_ELECT">Data!$AZ$46</definedName>
    <definedName name="GVEB019900col_FTI_SALARY_PERM">Data!$AY$46</definedName>
    <definedName name="GVEB019900col_FTI_SALARY_SSDI">Data!$AX$46</definedName>
    <definedName name="GVEB019900col_Group_Ben">Data!$CM$46</definedName>
    <definedName name="GVEB019900col_Group_Salary">Data!$CL$46</definedName>
    <definedName name="GVEB019900col_HEALTH_ELECT">Data!$BC$46</definedName>
    <definedName name="GVEB019900col_HEALTH_ELECT_BY">Data!$BO$46</definedName>
    <definedName name="GVEB019900col_HEALTH_ELECT_CHG">Data!$CA$46</definedName>
    <definedName name="GVEB019900col_HEALTH_PERM">Data!$BB$46</definedName>
    <definedName name="GVEB019900col_HEALTH_PERM_BY">Data!$BN$46</definedName>
    <definedName name="GVEB019900col_HEALTH_PERM_CHG">Data!$BZ$46</definedName>
    <definedName name="GVEB019900col_INC_FTI">Data!$AS$46</definedName>
    <definedName name="GVEB019900col_LIFE_INS">Data!$BG$46</definedName>
    <definedName name="GVEB019900col_LIFE_INS_BY">Data!$BS$46</definedName>
    <definedName name="GVEB019900col_LIFE_INS_CHG">Data!$CE$46</definedName>
    <definedName name="GVEB019900col_RETIREMENT">Data!$BF$46</definedName>
    <definedName name="GVEB019900col_RETIREMENT_BY">Data!$BR$46</definedName>
    <definedName name="GVEB019900col_RETIREMENT_CHG">Data!$CD$46</definedName>
    <definedName name="GVEB019900col_ROWS_PER_PCN">Data!$AW$46</definedName>
    <definedName name="GVEB019900col_SICK">Data!$BK$46</definedName>
    <definedName name="GVEB019900col_SICK_BY">Data!$BW$46</definedName>
    <definedName name="GVEB019900col_SICK_CHG">Data!$CI$46</definedName>
    <definedName name="GVEB019900col_SSDI">Data!$BD$46</definedName>
    <definedName name="GVEB019900col_SSDI_BY">Data!$BP$46</definedName>
    <definedName name="GVEB019900col_SSDI_CHG">Data!$CB$46</definedName>
    <definedName name="GVEB019900col_SSHI">Data!$BE$46</definedName>
    <definedName name="GVEB019900col_SSHI_BY">Data!$BQ$46</definedName>
    <definedName name="GVEB019900col_SSHI_CHGv">Data!$CC$46</definedName>
    <definedName name="GVEB019900col_TOT_VB_ELECT">Data!$BM$46</definedName>
    <definedName name="GVEB019900col_TOT_VB_ELECT_BY">Data!$BY$46</definedName>
    <definedName name="GVEB019900col_TOT_VB_ELECT_CHG">Data!$CK$46</definedName>
    <definedName name="GVEB019900col_TOT_VB_PERM">Data!$BL$46</definedName>
    <definedName name="GVEB019900col_TOT_VB_PERM_BY">Data!$BX$46</definedName>
    <definedName name="GVEB019900col_TOT_VB_PERM_CHG">Data!$CJ$46</definedName>
    <definedName name="GVEB019900col_TOTAL_ELECT_PCN_FTI">Data!$AT$46</definedName>
    <definedName name="GVEB019900col_TOTAL_ELECT_PCN_FTI_ALT">Data!$AV$46</definedName>
    <definedName name="GVEB019900col_TOTAL_PERM_PCN_FTI">Data!$AU$46</definedName>
    <definedName name="GVEB019900col_UNEMP_INS">Data!$BH$46</definedName>
    <definedName name="GVEB019900col_UNEMP_INS_BY">Data!$BT$46</definedName>
    <definedName name="GVEB019900col_UNEMP_INS_CHG">Data!$CF$46</definedName>
    <definedName name="GVEB019900col_WORKERS_COMP">Data!$BJ$46</definedName>
    <definedName name="GVEB019900col_WORKERS_COMP_BY">Data!$BV$46</definedName>
    <definedName name="GVEB019900col_WORKERS_COMP_CHG">Data!$CH$46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'GVEA|0125-00'!$M$2</definedName>
    <definedName name="LUMAFund" localSheetId="1">'GVEA|0348-00'!$M$2</definedName>
    <definedName name="LUMAFund" localSheetId="2">'GVEA|0349-00'!$M$2</definedName>
    <definedName name="LUMAFund" localSheetId="3">'GVEA|0494-00'!$M$2</definedName>
    <definedName name="LUMAFund" localSheetId="4">'GVEB|0199-00'!$M$2</definedName>
    <definedName name="LUMAFund">'B6'!$M$2</definedName>
    <definedName name="MAXSSDI">Benefits!$F$5</definedName>
    <definedName name="MAXSSDIBY">Benefits!$G$5</definedName>
    <definedName name="NEW_AdjGroup" localSheetId="0">'GVEA|0125-00'!$AC$39</definedName>
    <definedName name="NEW_AdjGroup" localSheetId="1">'GVEA|0348-00'!$AC$39</definedName>
    <definedName name="NEW_AdjGroup" localSheetId="2">'GVEA|0349-00'!$AC$39</definedName>
    <definedName name="NEW_AdjGroup" localSheetId="3">'GVEA|0494-00'!$AC$39</definedName>
    <definedName name="NEW_AdjGroup" localSheetId="4">'GVEB|0199-00'!$AC$39</definedName>
    <definedName name="NEW_AdjGroup">'B6'!$AC$39</definedName>
    <definedName name="NEW_AdjGroupSalary" localSheetId="0">'GVEA|0125-00'!$AA$39</definedName>
    <definedName name="NEW_AdjGroupSalary" localSheetId="1">'GVEA|0348-00'!$AA$39</definedName>
    <definedName name="NEW_AdjGroupSalary" localSheetId="2">'GVEA|0349-00'!$AA$39</definedName>
    <definedName name="NEW_AdjGroupSalary" localSheetId="3">'GVEA|0494-00'!$AA$39</definedName>
    <definedName name="NEW_AdjGroupSalary" localSheetId="4">'GVEB|0199-00'!$AA$39</definedName>
    <definedName name="NEW_AdjGroupSalary">'B6'!$AA$39</definedName>
    <definedName name="NEW_AdjGroupVB" localSheetId="0">'GVEA|0125-00'!$AB$39</definedName>
    <definedName name="NEW_AdjGroupVB" localSheetId="1">'GVEA|0348-00'!$AB$39</definedName>
    <definedName name="NEW_AdjGroupVB" localSheetId="2">'GVEA|0349-00'!$AB$39</definedName>
    <definedName name="NEW_AdjGroupVB" localSheetId="3">'GVEA|0494-00'!$AB$39</definedName>
    <definedName name="NEW_AdjGroupVB" localSheetId="4">'GVEB|0199-00'!$AB$39</definedName>
    <definedName name="NEW_AdjGroupVB">'B6'!$AB$39</definedName>
    <definedName name="NEW_AdjONLYGroup" localSheetId="0">'GVEA|0125-00'!$AC$45</definedName>
    <definedName name="NEW_AdjONLYGroup" localSheetId="1">'GVEA|0348-00'!$AC$45</definedName>
    <definedName name="NEW_AdjONLYGroup" localSheetId="2">'GVEA|0349-00'!$AC$45</definedName>
    <definedName name="NEW_AdjONLYGroup" localSheetId="3">'GVEA|0494-00'!$AC$45</definedName>
    <definedName name="NEW_AdjONLYGroup" localSheetId="4">'GVEB|0199-00'!$AC$45</definedName>
    <definedName name="NEW_AdjONLYGroup">'B6'!$AC$45</definedName>
    <definedName name="NEW_AdjONLYGroupSalary" localSheetId="0">'GVEA|0125-00'!$AA$45</definedName>
    <definedName name="NEW_AdjONLYGroupSalary" localSheetId="1">'GVEA|0348-00'!$AA$45</definedName>
    <definedName name="NEW_AdjONLYGroupSalary" localSheetId="2">'GVEA|0349-00'!$AA$45</definedName>
    <definedName name="NEW_AdjONLYGroupSalary" localSheetId="3">'GVEA|0494-00'!$AA$45</definedName>
    <definedName name="NEW_AdjONLYGroupSalary" localSheetId="4">'GVEB|0199-00'!$AA$45</definedName>
    <definedName name="NEW_AdjONLYGroupSalary">'B6'!$AA$45</definedName>
    <definedName name="NEW_AdjONLYGroupVB" localSheetId="0">'GVEA|0125-00'!$AB$45</definedName>
    <definedName name="NEW_AdjONLYGroupVB" localSheetId="1">'GVEA|0348-00'!$AB$45</definedName>
    <definedName name="NEW_AdjONLYGroupVB" localSheetId="2">'GVEA|0349-00'!$AB$45</definedName>
    <definedName name="NEW_AdjONLYGroupVB" localSheetId="3">'GVEA|0494-00'!$AB$45</definedName>
    <definedName name="NEW_AdjONLYGroupVB" localSheetId="4">'GVEB|0199-00'!$AB$45</definedName>
    <definedName name="NEW_AdjONLYGroupVB">'B6'!$AB$45</definedName>
    <definedName name="NEW_AdjONLYPerm" localSheetId="0">'GVEA|0125-00'!$AC$44</definedName>
    <definedName name="NEW_AdjONLYPerm" localSheetId="1">'GVEA|0348-00'!$AC$44</definedName>
    <definedName name="NEW_AdjONLYPerm" localSheetId="2">'GVEA|0349-00'!$AC$44</definedName>
    <definedName name="NEW_AdjONLYPerm" localSheetId="3">'GVEA|0494-00'!$AC$44</definedName>
    <definedName name="NEW_AdjONLYPerm" localSheetId="4">'GVEB|0199-00'!$AC$44</definedName>
    <definedName name="NEW_AdjONLYPerm">'B6'!$AC$44</definedName>
    <definedName name="NEW_AdjONLYPermSalary" localSheetId="0">'GVEA|0125-00'!$AA$44</definedName>
    <definedName name="NEW_AdjONLYPermSalary" localSheetId="1">'GVEA|0348-00'!$AA$44</definedName>
    <definedName name="NEW_AdjONLYPermSalary" localSheetId="2">'GVEA|0349-00'!$AA$44</definedName>
    <definedName name="NEW_AdjONLYPermSalary" localSheetId="3">'GVEA|0494-00'!$AA$44</definedName>
    <definedName name="NEW_AdjONLYPermSalary" localSheetId="4">'GVEB|0199-00'!$AA$44</definedName>
    <definedName name="NEW_AdjONLYPermSalary">'B6'!$AA$44</definedName>
    <definedName name="NEW_AdjONLYPermVB" localSheetId="0">'GVEA|0125-00'!$AB$44</definedName>
    <definedName name="NEW_AdjONLYPermVB" localSheetId="1">'GVEA|0348-00'!$AB$44</definedName>
    <definedName name="NEW_AdjONLYPermVB" localSheetId="2">'GVEA|0349-00'!$AB$44</definedName>
    <definedName name="NEW_AdjONLYPermVB" localSheetId="3">'GVEA|0494-00'!$AB$44</definedName>
    <definedName name="NEW_AdjONLYPermVB" localSheetId="4">'GVEB|0199-00'!$AB$44</definedName>
    <definedName name="NEW_AdjONLYPermVB">'B6'!$AB$44</definedName>
    <definedName name="NEW_AdjPerm" localSheetId="0">'GVEA|0125-00'!$AC$38</definedName>
    <definedName name="NEW_AdjPerm" localSheetId="1">'GVEA|0348-00'!$AC$38</definedName>
    <definedName name="NEW_AdjPerm" localSheetId="2">'GVEA|0349-00'!$AC$38</definedName>
    <definedName name="NEW_AdjPerm" localSheetId="3">'GVEA|0494-00'!$AC$38</definedName>
    <definedName name="NEW_AdjPerm" localSheetId="4">'GVEB|0199-00'!$AC$38</definedName>
    <definedName name="NEW_AdjPerm">'B6'!$AC$38</definedName>
    <definedName name="NEW_AdjPermSalary" localSheetId="0">'GVEA|0125-00'!$AA$38</definedName>
    <definedName name="NEW_AdjPermSalary" localSheetId="1">'GVEA|0348-00'!$AA$38</definedName>
    <definedName name="NEW_AdjPermSalary" localSheetId="2">'GVEA|0349-00'!$AA$38</definedName>
    <definedName name="NEW_AdjPermSalary" localSheetId="3">'GVEA|0494-00'!$AA$38</definedName>
    <definedName name="NEW_AdjPermSalary" localSheetId="4">'GVEB|0199-00'!$AA$38</definedName>
    <definedName name="NEW_AdjPermSalary">'B6'!$AA$38</definedName>
    <definedName name="NEW_AdjPermVB" localSheetId="0">'GVEA|0125-00'!$AB$38</definedName>
    <definedName name="NEW_AdjPermVB" localSheetId="1">'GVEA|0348-00'!$AB$38</definedName>
    <definedName name="NEW_AdjPermVB" localSheetId="2">'GVEA|0349-00'!$AB$38</definedName>
    <definedName name="NEW_AdjPermVB" localSheetId="3">'GVEA|0494-00'!$AB$38</definedName>
    <definedName name="NEW_AdjPermVB" localSheetId="4">'GVEB|0199-00'!$AB$38</definedName>
    <definedName name="NEW_AdjPermVB">'B6'!$AB$38</definedName>
    <definedName name="NEW_GroupFilled" localSheetId="0">'GVEA|0125-00'!$AC$11</definedName>
    <definedName name="NEW_GroupFilled" localSheetId="1">'GVEA|0348-00'!$AC$11</definedName>
    <definedName name="NEW_GroupFilled" localSheetId="2">'GVEA|0349-00'!$AC$11</definedName>
    <definedName name="NEW_GroupFilled" localSheetId="3">'GVEA|0494-00'!$AC$11</definedName>
    <definedName name="NEW_GroupFilled" localSheetId="4">'GVEB|0199-00'!$AC$11</definedName>
    <definedName name="NEW_GroupFilled">'B6'!$AC$11</definedName>
    <definedName name="NEW_GroupSalaryFilled" localSheetId="0">'GVEA|0125-00'!$AA$11</definedName>
    <definedName name="NEW_GroupSalaryFilled" localSheetId="1">'GVEA|0348-00'!$AA$11</definedName>
    <definedName name="NEW_GroupSalaryFilled" localSheetId="2">'GVEA|0349-00'!$AA$11</definedName>
    <definedName name="NEW_GroupSalaryFilled" localSheetId="3">'GVEA|0494-00'!$AA$11</definedName>
    <definedName name="NEW_GroupSalaryFilled" localSheetId="4">'GVEB|0199-00'!$AA$11</definedName>
    <definedName name="NEW_GroupSalaryFilled">'B6'!$AA$11</definedName>
    <definedName name="NEW_GroupVBFilled" localSheetId="0">'GVEA|0125-00'!$AB$11</definedName>
    <definedName name="NEW_GroupVBFilled" localSheetId="1">'GVEA|0348-00'!$AB$11</definedName>
    <definedName name="NEW_GroupVBFilled" localSheetId="2">'GVEA|0349-00'!$AB$11</definedName>
    <definedName name="NEW_GroupVBFilled" localSheetId="3">'GVEA|0494-00'!$AB$11</definedName>
    <definedName name="NEW_GroupVBFilled" localSheetId="4">'GVEB|0199-00'!$AB$11</definedName>
    <definedName name="NEW_GroupVBFilled">'B6'!$AB$11</definedName>
    <definedName name="NEW_PermFilled" localSheetId="0">'GVEA|0125-00'!$AC$10</definedName>
    <definedName name="NEW_PermFilled" localSheetId="1">'GVEA|0348-00'!$AC$10</definedName>
    <definedName name="NEW_PermFilled" localSheetId="2">'GVEA|0349-00'!$AC$10</definedName>
    <definedName name="NEW_PermFilled" localSheetId="3">'GVEA|0494-00'!$AC$10</definedName>
    <definedName name="NEW_PermFilled" localSheetId="4">'GVEB|0199-00'!$AC$10</definedName>
    <definedName name="NEW_PermFilled">'B6'!$AC$10</definedName>
    <definedName name="NEW_PermSalaryFilled" localSheetId="0">'GVEA|0125-00'!$AA$10</definedName>
    <definedName name="NEW_PermSalaryFilled" localSheetId="1">'GVEA|0348-00'!$AA$10</definedName>
    <definedName name="NEW_PermSalaryFilled" localSheetId="2">'GVEA|0349-00'!$AA$10</definedName>
    <definedName name="NEW_PermSalaryFilled" localSheetId="3">'GVEA|0494-00'!$AA$10</definedName>
    <definedName name="NEW_PermSalaryFilled" localSheetId="4">'GVEB|0199-00'!$AA$10</definedName>
    <definedName name="NEW_PermSalaryFilled">'B6'!$AA$10</definedName>
    <definedName name="NEW_PermVBFilled" localSheetId="0">'GVEA|0125-00'!$AB$10</definedName>
    <definedName name="NEW_PermVBFilled" localSheetId="1">'GVEA|0348-00'!$AB$10</definedName>
    <definedName name="NEW_PermVBFilled" localSheetId="2">'GVEA|0349-00'!$AB$10</definedName>
    <definedName name="NEW_PermVBFilled" localSheetId="3">'GVEA|0494-00'!$AB$10</definedName>
    <definedName name="NEW_PermVBFilled" localSheetId="4">'GVEB|0199-00'!$AB$10</definedName>
    <definedName name="NEW_PermVBFilled">'B6'!$AB$10</definedName>
    <definedName name="OneTimePC_Total" localSheetId="0">'GVEA|0125-00'!$J$63</definedName>
    <definedName name="OneTimePC_Total" localSheetId="1">'GVEA|0348-00'!$J$63</definedName>
    <definedName name="OneTimePC_Total" localSheetId="2">'GVEA|0349-00'!$J$63</definedName>
    <definedName name="OneTimePC_Total" localSheetId="3">'GVEA|0494-00'!$J$63</definedName>
    <definedName name="OneTimePC_Total" localSheetId="4">'GVEB|0199-00'!$J$63</definedName>
    <definedName name="OneTimePC_Total">'B6'!$J$63</definedName>
    <definedName name="OrigApprop" localSheetId="0">'GVEA|0125-00'!$E$15</definedName>
    <definedName name="OrigApprop" localSheetId="1">'GVEA|0348-00'!$E$15</definedName>
    <definedName name="OrigApprop" localSheetId="2">'GVEA|0349-00'!$E$15</definedName>
    <definedName name="OrigApprop" localSheetId="3">'GVEA|0494-00'!$E$15</definedName>
    <definedName name="OrigApprop" localSheetId="4">'GVEB|0199-00'!$E$15</definedName>
    <definedName name="OrigApprop">'B6'!$E$15</definedName>
    <definedName name="perm_name" localSheetId="0">'GVEA|0125-00'!$C$10</definedName>
    <definedName name="perm_name" localSheetId="1">'GVEA|0348-00'!$C$10</definedName>
    <definedName name="perm_name" localSheetId="2">'GVEA|0349-00'!$C$10</definedName>
    <definedName name="perm_name" localSheetId="3">'GVEA|0494-00'!$C$10</definedName>
    <definedName name="perm_name" localSheetId="4">'GVEB|0199-00'!$C$10</definedName>
    <definedName name="perm_name">'B6'!$C$10</definedName>
    <definedName name="PermFTP" localSheetId="0">'GVEA|0125-00'!$F$10</definedName>
    <definedName name="PermFTP" localSheetId="1">'GVEA|0348-00'!$F$10</definedName>
    <definedName name="PermFTP" localSheetId="2">'GVEA|0349-00'!$F$10</definedName>
    <definedName name="PermFTP" localSheetId="3">'GVEA|0494-00'!$F$10</definedName>
    <definedName name="PermFTP" localSheetId="4">'GVEB|0199-00'!$F$10</definedName>
    <definedName name="PermFTP">'B6'!$F$10</definedName>
    <definedName name="PermFxdBen" localSheetId="0">'GVEA|0125-00'!$H$10</definedName>
    <definedName name="PermFxdBen" localSheetId="1">'GVEA|0348-00'!$H$10</definedName>
    <definedName name="PermFxdBen" localSheetId="2">'GVEA|0349-00'!$H$10</definedName>
    <definedName name="PermFxdBen" localSheetId="3">'GVEA|0494-00'!$H$10</definedName>
    <definedName name="PermFxdBen" localSheetId="4">'GVEB|0199-00'!$H$10</definedName>
    <definedName name="PermFxdBen">'B6'!$H$10</definedName>
    <definedName name="PermFxdBenChg" localSheetId="0">'GVEA|0125-00'!$L$10</definedName>
    <definedName name="PermFxdBenChg" localSheetId="1">'GVEA|0348-00'!$L$10</definedName>
    <definedName name="PermFxdBenChg" localSheetId="2">'GVEA|0349-00'!$L$10</definedName>
    <definedName name="PermFxdBenChg" localSheetId="3">'GVEA|0494-00'!$L$10</definedName>
    <definedName name="PermFxdBenChg" localSheetId="4">'GVEB|0199-00'!$L$10</definedName>
    <definedName name="PermFxdBenChg">'B6'!$L$10</definedName>
    <definedName name="PermFxdChg" localSheetId="0">'GVEA|0125-00'!$L$10</definedName>
    <definedName name="PermFxdChg" localSheetId="1">'GVEA|0348-00'!$L$10</definedName>
    <definedName name="PermFxdChg" localSheetId="2">'GVEA|0349-00'!$L$10</definedName>
    <definedName name="PermFxdChg" localSheetId="3">'GVEA|0494-00'!$L$10</definedName>
    <definedName name="PermFxdChg" localSheetId="4">'GVEB|0199-00'!$L$10</definedName>
    <definedName name="PermFxdChg">'B6'!$L$10</definedName>
    <definedName name="PermSalary" localSheetId="0">'GVEA|0125-00'!$G$10</definedName>
    <definedName name="PermSalary" localSheetId="1">'GVEA|0348-00'!$G$10</definedName>
    <definedName name="PermSalary" localSheetId="2">'GVEA|0349-00'!$G$10</definedName>
    <definedName name="PermSalary" localSheetId="3">'GVEA|0494-00'!$G$10</definedName>
    <definedName name="PermSalary" localSheetId="4">'GVEB|0199-00'!$G$10</definedName>
    <definedName name="PermSalary">'B6'!$G$10</definedName>
    <definedName name="PermVarBen" localSheetId="0">'GVEA|0125-00'!$I$10</definedName>
    <definedName name="PermVarBen" localSheetId="1">'GVEA|0348-00'!$I$10</definedName>
    <definedName name="PermVarBen" localSheetId="2">'GVEA|0349-00'!$I$10</definedName>
    <definedName name="PermVarBen" localSheetId="3">'GVEA|0494-00'!$I$10</definedName>
    <definedName name="PermVarBen" localSheetId="4">'GVEB|0199-00'!$I$10</definedName>
    <definedName name="PermVarBen">'B6'!$I$10</definedName>
    <definedName name="PermVarBenChg" localSheetId="0">'GVEA|0125-00'!$M$10</definedName>
    <definedName name="PermVarBenChg" localSheetId="1">'GVEA|0348-00'!$M$10</definedName>
    <definedName name="PermVarBenChg" localSheetId="2">'GVEA|0349-00'!$M$10</definedName>
    <definedName name="PermVarBenChg" localSheetId="3">'GVEA|0494-00'!$M$10</definedName>
    <definedName name="PermVarBenChg" localSheetId="4">'GVEB|0199-00'!$M$10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7">'B6'!$A$1:$N$81</definedName>
    <definedName name="_xlnm.Print_Area" localSheetId="6">Benefits!$A$1:$G$36</definedName>
    <definedName name="_xlnm.Print_Area" localSheetId="0">'GVEA|0125-00'!$A$1:$N$81</definedName>
    <definedName name="_xlnm.Print_Area" localSheetId="1">'GVEA|0348-00'!$A$1:$N$81</definedName>
    <definedName name="_xlnm.Print_Area" localSheetId="2">'GVEA|0349-00'!$A$1:$N$81</definedName>
    <definedName name="_xlnm.Print_Area" localSheetId="3">'GVEA|0494-00'!$A$1:$N$81</definedName>
    <definedName name="_xlnm.Print_Area" localSheetId="4">'GVEB|0199-00'!$A$1:$N$81</definedName>
    <definedName name="Prog_Unadjusted_Total" localSheetId="0">'GVEA|0125-00'!$C$8:$N$16</definedName>
    <definedName name="Prog_Unadjusted_Total" localSheetId="1">'GVEA|0348-00'!$C$8:$N$16</definedName>
    <definedName name="Prog_Unadjusted_Total" localSheetId="2">'GVEA|0349-00'!$C$8:$N$16</definedName>
    <definedName name="Prog_Unadjusted_Total" localSheetId="3">'GVEA|0494-00'!$C$8:$N$16</definedName>
    <definedName name="Prog_Unadjusted_Total" localSheetId="4">'GVEB|0199-00'!$C$8:$N$16</definedName>
    <definedName name="Prog_Unadjusted_Total">'B6'!$C$8:$N$16</definedName>
    <definedName name="Program" localSheetId="0">'GVEA|0125-00'!$D$3</definedName>
    <definedName name="Program" localSheetId="1">'GVEA|0348-00'!$D$3</definedName>
    <definedName name="Program" localSheetId="2">'GVEA|0349-00'!$D$3</definedName>
    <definedName name="Program" localSheetId="3">'GVEA|0494-00'!$D$3</definedName>
    <definedName name="Program" localSheetId="4">'GVEB|0199-00'!$D$3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'GVEA|0125-00'!$G$52</definedName>
    <definedName name="RoundedAppropSalary" localSheetId="1">'GVEA|0348-00'!$G$52</definedName>
    <definedName name="RoundedAppropSalary" localSheetId="2">'GVEA|0349-00'!$G$52</definedName>
    <definedName name="RoundedAppropSalary" localSheetId="3">'GVEA|0494-00'!$G$52</definedName>
    <definedName name="RoundedAppropSalary" localSheetId="4">'GVEB|0199-00'!$G$52</definedName>
    <definedName name="RoundedAppropSalary">'B6'!$G$52</definedName>
    <definedName name="SalaryChg" localSheetId="0">'GVEA|0125-00'!$K$10</definedName>
    <definedName name="SalaryChg" localSheetId="1">'GVEA|0348-00'!$K$10</definedName>
    <definedName name="SalaryChg" localSheetId="2">'GVEA|0349-00'!$K$10</definedName>
    <definedName name="SalaryChg" localSheetId="3">'GVEA|0494-00'!$K$10</definedName>
    <definedName name="SalaryChg" localSheetId="4">'GVEB|0199-00'!$K$10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'GVEA|0125-00'!#REF!</definedName>
    <definedName name="SubCECBase" localSheetId="1">'GVEA|0348-00'!#REF!</definedName>
    <definedName name="SubCECBase" localSheetId="2">'GVEA|0349-00'!#REF!</definedName>
    <definedName name="SubCECBase" localSheetId="3">'GVEA|0494-00'!#REF!</definedName>
    <definedName name="SubCECBase" localSheetId="4">'GVEB|0199-00'!#REF!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K17" i="11"/>
  <c r="L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J25" i="11"/>
  <c r="K25" i="11"/>
  <c r="L25" i="11"/>
  <c r="M25" i="11"/>
  <c r="E26" i="11"/>
  <c r="F26" i="11"/>
  <c r="G26" i="11"/>
  <c r="H26" i="11"/>
  <c r="I26" i="11"/>
  <c r="J26" i="11"/>
  <c r="K26" i="11"/>
  <c r="L26" i="11"/>
  <c r="M26" i="11"/>
  <c r="E27" i="11"/>
  <c r="F27" i="11"/>
  <c r="G27" i="11"/>
  <c r="H27" i="11"/>
  <c r="I27" i="11"/>
  <c r="K27" i="11"/>
  <c r="L27" i="11"/>
  <c r="AZ73" i="5"/>
  <c r="AY73" i="5"/>
  <c r="AW73" i="5"/>
  <c r="AV73" i="5"/>
  <c r="AU73" i="5"/>
  <c r="AT73" i="5"/>
  <c r="AS73" i="5"/>
  <c r="BA71" i="5"/>
  <c r="AZ71" i="5"/>
  <c r="AY71" i="5"/>
  <c r="AX71" i="5"/>
  <c r="AW71" i="5"/>
  <c r="AV71" i="5"/>
  <c r="AU71" i="5"/>
  <c r="AT71" i="5"/>
  <c r="AS71" i="5"/>
  <c r="AZ63" i="5"/>
  <c r="AY63" i="5"/>
  <c r="AW63" i="5"/>
  <c r="AV63" i="5"/>
  <c r="AU63" i="5"/>
  <c r="AT63" i="5"/>
  <c r="AS63" i="5"/>
  <c r="AZ69" i="5"/>
  <c r="AW69" i="5"/>
  <c r="AZ67" i="5"/>
  <c r="AW67" i="5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J74" i="16"/>
  <c r="I74" i="16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N35" i="16" s="1"/>
  <c r="L35" i="16"/>
  <c r="J35" i="16"/>
  <c r="I35" i="16"/>
  <c r="H35" i="16"/>
  <c r="M34" i="16"/>
  <c r="N34" i="16" s="1"/>
  <c r="L34" i="16"/>
  <c r="J34" i="16"/>
  <c r="I34" i="16"/>
  <c r="H34" i="16"/>
  <c r="N33" i="16"/>
  <c r="M33" i="16"/>
  <c r="L33" i="16"/>
  <c r="J33" i="16"/>
  <c r="I33" i="16"/>
  <c r="H33" i="16"/>
  <c r="M32" i="16"/>
  <c r="L32" i="16"/>
  <c r="N32" i="16" s="1"/>
  <c r="J32" i="16"/>
  <c r="I32" i="16"/>
  <c r="H32" i="16"/>
  <c r="M30" i="16"/>
  <c r="N30" i="16" s="1"/>
  <c r="L30" i="16"/>
  <c r="J30" i="16"/>
  <c r="I30" i="16"/>
  <c r="H30" i="16"/>
  <c r="M29" i="16"/>
  <c r="N29" i="16" s="1"/>
  <c r="L29" i="16"/>
  <c r="J29" i="16"/>
  <c r="I29" i="16"/>
  <c r="H29" i="16"/>
  <c r="M28" i="16"/>
  <c r="N28" i="16" s="1"/>
  <c r="L28" i="16"/>
  <c r="J28" i="16"/>
  <c r="I28" i="16"/>
  <c r="H28" i="16"/>
  <c r="M27" i="16"/>
  <c r="L27" i="16"/>
  <c r="J27" i="16"/>
  <c r="I27" i="16"/>
  <c r="H27" i="16"/>
  <c r="M26" i="16"/>
  <c r="N26" i="16" s="1"/>
  <c r="L26" i="16"/>
  <c r="J26" i="16"/>
  <c r="I26" i="16"/>
  <c r="H26" i="16"/>
  <c r="M25" i="16"/>
  <c r="N25" i="16" s="1"/>
  <c r="L25" i="16"/>
  <c r="J25" i="16"/>
  <c r="I25" i="16"/>
  <c r="H25" i="16"/>
  <c r="M24" i="16"/>
  <c r="N24" i="16" s="1"/>
  <c r="L24" i="16"/>
  <c r="J24" i="16"/>
  <c r="I24" i="16"/>
  <c r="H24" i="16"/>
  <c r="M23" i="16"/>
  <c r="L23" i="16"/>
  <c r="N23" i="16" s="1"/>
  <c r="J23" i="16"/>
  <c r="I23" i="16"/>
  <c r="H23" i="16"/>
  <c r="M22" i="16"/>
  <c r="N22" i="16" s="1"/>
  <c r="L22" i="16"/>
  <c r="J22" i="16"/>
  <c r="I22" i="16"/>
  <c r="H22" i="16"/>
  <c r="M21" i="16"/>
  <c r="N21" i="16" s="1"/>
  <c r="L21" i="16"/>
  <c r="J21" i="16"/>
  <c r="I21" i="16"/>
  <c r="H21" i="16"/>
  <c r="M20" i="16"/>
  <c r="N20" i="16" s="1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N35" i="15" s="1"/>
  <c r="L35" i="15"/>
  <c r="J35" i="15"/>
  <c r="I35" i="15"/>
  <c r="H35" i="15"/>
  <c r="M34" i="15"/>
  <c r="L34" i="15"/>
  <c r="N34" i="15" s="1"/>
  <c r="J34" i="15"/>
  <c r="I34" i="15"/>
  <c r="H34" i="15"/>
  <c r="M33" i="15"/>
  <c r="N33" i="15" s="1"/>
  <c r="L33" i="15"/>
  <c r="J33" i="15"/>
  <c r="I33" i="15"/>
  <c r="H33" i="15"/>
  <c r="M32" i="15"/>
  <c r="L32" i="15"/>
  <c r="J32" i="15"/>
  <c r="I32" i="15"/>
  <c r="H32" i="15"/>
  <c r="M30" i="15"/>
  <c r="N30" i="15" s="1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N26" i="15" s="1"/>
  <c r="J26" i="15"/>
  <c r="I26" i="15"/>
  <c r="H26" i="15"/>
  <c r="M25" i="15"/>
  <c r="L25" i="15"/>
  <c r="J25" i="15"/>
  <c r="I25" i="15"/>
  <c r="H25" i="15"/>
  <c r="N24" i="15"/>
  <c r="M24" i="15"/>
  <c r="L24" i="15"/>
  <c r="J24" i="15"/>
  <c r="I24" i="15"/>
  <c r="H24" i="15"/>
  <c r="M23" i="15"/>
  <c r="L23" i="15"/>
  <c r="N23" i="15" s="1"/>
  <c r="J23" i="15"/>
  <c r="I23" i="15"/>
  <c r="H23" i="15"/>
  <c r="M22" i="15"/>
  <c r="N22" i="15" s="1"/>
  <c r="L22" i="15"/>
  <c r="J22" i="15"/>
  <c r="I22" i="15"/>
  <c r="H22" i="15"/>
  <c r="M21" i="15"/>
  <c r="L21" i="15"/>
  <c r="J21" i="15"/>
  <c r="I21" i="15"/>
  <c r="H21" i="15"/>
  <c r="M20" i="15"/>
  <c r="N20" i="15" s="1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CM42" i="5"/>
  <c r="CL42" i="5"/>
  <c r="CK42" i="5"/>
  <c r="CJ42" i="5"/>
  <c r="CI42" i="5"/>
  <c r="CH42" i="5"/>
  <c r="CG42" i="5"/>
  <c r="CF42" i="5"/>
  <c r="CE42" i="5"/>
  <c r="CD42" i="5"/>
  <c r="CC42" i="5"/>
  <c r="CB42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N30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N28" i="14" s="1"/>
  <c r="J28" i="14"/>
  <c r="I28" i="14"/>
  <c r="H28" i="14"/>
  <c r="M27" i="14"/>
  <c r="L27" i="14"/>
  <c r="J27" i="14"/>
  <c r="I27" i="14"/>
  <c r="H27" i="14"/>
  <c r="M26" i="14"/>
  <c r="L26" i="14"/>
  <c r="N26" i="14" s="1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N20" i="14" s="1"/>
  <c r="J20" i="14"/>
  <c r="I20" i="14"/>
  <c r="H20" i="14"/>
  <c r="C15" i="14"/>
  <c r="AC11" i="14"/>
  <c r="M8" i="14"/>
  <c r="L8" i="14"/>
  <c r="K8" i="14"/>
  <c r="J8" i="14"/>
  <c r="I8" i="14"/>
  <c r="H8" i="14"/>
  <c r="G8" i="14"/>
  <c r="CM40" i="5"/>
  <c r="CM41" i="5" s="1"/>
  <c r="CL40" i="5"/>
  <c r="CL41" i="5" s="1"/>
  <c r="CK40" i="5"/>
  <c r="CK41" i="5" s="1"/>
  <c r="M12" i="14" s="1"/>
  <c r="M40" i="14" s="1"/>
  <c r="CJ40" i="5"/>
  <c r="CJ41" i="5" s="1"/>
  <c r="M10" i="14" s="1"/>
  <c r="CI40" i="5"/>
  <c r="CI41" i="5" s="1"/>
  <c r="CH40" i="5"/>
  <c r="CH41" i="5" s="1"/>
  <c r="CG40" i="5"/>
  <c r="CG41" i="5" s="1"/>
  <c r="CF40" i="5"/>
  <c r="CF41" i="5" s="1"/>
  <c r="CE40" i="5"/>
  <c r="CE41" i="5" s="1"/>
  <c r="CD40" i="5"/>
  <c r="CD41" i="5" s="1"/>
  <c r="CC40" i="5"/>
  <c r="CC41" i="5" s="1"/>
  <c r="CB40" i="5"/>
  <c r="CB41" i="5" s="1"/>
  <c r="CA40" i="5"/>
  <c r="CA41" i="5" s="1"/>
  <c r="BZ40" i="5"/>
  <c r="BZ41" i="5" s="1"/>
  <c r="L10" i="14" s="1"/>
  <c r="BY40" i="5"/>
  <c r="BY41" i="5" s="1"/>
  <c r="BX40" i="5"/>
  <c r="BX41" i="5" s="1"/>
  <c r="BW40" i="5"/>
  <c r="BW41" i="5" s="1"/>
  <c r="BV40" i="5"/>
  <c r="BV41" i="5" s="1"/>
  <c r="BU40" i="5"/>
  <c r="BU41" i="5" s="1"/>
  <c r="BT40" i="5"/>
  <c r="BT41" i="5" s="1"/>
  <c r="BS40" i="5"/>
  <c r="BS41" i="5" s="1"/>
  <c r="BR40" i="5"/>
  <c r="BR41" i="5" s="1"/>
  <c r="BQ40" i="5"/>
  <c r="BQ41" i="5" s="1"/>
  <c r="BP40" i="5"/>
  <c r="BP41" i="5" s="1"/>
  <c r="BO40" i="5"/>
  <c r="BO41" i="5" s="1"/>
  <c r="BN40" i="5"/>
  <c r="BN41" i="5" s="1"/>
  <c r="BM40" i="5"/>
  <c r="BM41" i="5" s="1"/>
  <c r="I12" i="14" s="1"/>
  <c r="I40" i="14" s="1"/>
  <c r="BL40" i="5"/>
  <c r="BL41" i="5" s="1"/>
  <c r="G26" i="10" s="1"/>
  <c r="BK40" i="5"/>
  <c r="BK41" i="5" s="1"/>
  <c r="BJ40" i="5"/>
  <c r="BJ41" i="5" s="1"/>
  <c r="BI40" i="5"/>
  <c r="BI41" i="5" s="1"/>
  <c r="BH40" i="5"/>
  <c r="BH41" i="5" s="1"/>
  <c r="BG40" i="5"/>
  <c r="BG41" i="5" s="1"/>
  <c r="BF40" i="5"/>
  <c r="BF41" i="5" s="1"/>
  <c r="BE40" i="5"/>
  <c r="BE41" i="5" s="1"/>
  <c r="BD40" i="5"/>
  <c r="BD41" i="5" s="1"/>
  <c r="BC40" i="5"/>
  <c r="BC41" i="5" s="1"/>
  <c r="BB40" i="5"/>
  <c r="BB41" i="5" s="1"/>
  <c r="F26" i="10" s="1"/>
  <c r="BA40" i="5"/>
  <c r="BA41" i="5" s="1"/>
  <c r="I26" i="10" s="1"/>
  <c r="AZ40" i="5"/>
  <c r="AZ41" i="5" s="1"/>
  <c r="AY40" i="5"/>
  <c r="AY41" i="5" s="1"/>
  <c r="AX40" i="5"/>
  <c r="AX41" i="5" s="1"/>
  <c r="AW40" i="5"/>
  <c r="AW41" i="5" s="1"/>
  <c r="AV40" i="5"/>
  <c r="AV41" i="5" s="1"/>
  <c r="AU40" i="5"/>
  <c r="AU41" i="5" s="1"/>
  <c r="AT40" i="5"/>
  <c r="AT41" i="5" s="1"/>
  <c r="F12" i="14" s="1"/>
  <c r="F40" i="14" s="1"/>
  <c r="AS40" i="5"/>
  <c r="AS41" i="5" s="1"/>
  <c r="F10" i="14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N33" i="13" s="1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2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T5" i="5" s="1"/>
  <c r="BX5" i="5" s="1"/>
  <c r="AS6" i="5"/>
  <c r="AX6" i="5" s="1"/>
  <c r="AS7" i="5"/>
  <c r="AX7" i="5" s="1"/>
  <c r="AS8" i="5"/>
  <c r="AT8" i="5" s="1"/>
  <c r="AU8" i="5" s="1"/>
  <c r="AS9" i="5"/>
  <c r="AT9" i="5" s="1"/>
  <c r="BK9" i="5" s="1"/>
  <c r="AS10" i="5"/>
  <c r="AT10" i="5" s="1"/>
  <c r="BJ10" i="5" s="1"/>
  <c r="AS11" i="5"/>
  <c r="AX11" i="5" s="1"/>
  <c r="AS12" i="5"/>
  <c r="AX12" i="5" s="1"/>
  <c r="AS13" i="5"/>
  <c r="AT13" i="5" s="1"/>
  <c r="AS14" i="5"/>
  <c r="AX14" i="5" s="1"/>
  <c r="AS15" i="5"/>
  <c r="AX15" i="5" s="1"/>
  <c r="AS16" i="5"/>
  <c r="AT16" i="5" s="1"/>
  <c r="BL16" i="5" s="1"/>
  <c r="AS17" i="5"/>
  <c r="AT17" i="5" s="1"/>
  <c r="BJ17" i="5" s="1"/>
  <c r="AS18" i="5"/>
  <c r="AT18" i="5" s="1"/>
  <c r="AS19" i="5"/>
  <c r="AX19" i="5" s="1"/>
  <c r="AS20" i="5"/>
  <c r="AX20" i="5" s="1"/>
  <c r="AS21" i="5"/>
  <c r="AT21" i="5" s="1"/>
  <c r="AV21" i="5" s="1"/>
  <c r="AS22" i="5"/>
  <c r="AT22" i="5" s="1"/>
  <c r="AS23" i="5"/>
  <c r="AX23" i="5" s="1"/>
  <c r="AS24" i="5"/>
  <c r="AT24" i="5" s="1"/>
  <c r="AU24" i="5" s="1"/>
  <c r="AS25" i="5"/>
  <c r="AT25" i="5" s="1"/>
  <c r="BH25" i="5" s="1"/>
  <c r="AS26" i="5"/>
  <c r="AT26" i="5" s="1"/>
  <c r="BG26" i="5" s="1"/>
  <c r="AS27" i="5"/>
  <c r="AX27" i="5" s="1"/>
  <c r="AS28" i="5"/>
  <c r="AX28" i="5" s="1"/>
  <c r="AS29" i="5"/>
  <c r="AT29" i="5" s="1"/>
  <c r="AS30" i="5"/>
  <c r="AT30" i="5" s="1"/>
  <c r="AS31" i="5"/>
  <c r="AX31" i="5" s="1"/>
  <c r="AS32" i="5"/>
  <c r="AT32" i="5" s="1"/>
  <c r="AU32" i="5" s="1"/>
  <c r="AS33" i="5"/>
  <c r="AT33" i="5" s="1"/>
  <c r="BJ33" i="5" s="1"/>
  <c r="AS2" i="5"/>
  <c r="AT2" i="5" s="1"/>
  <c r="E27" i="7"/>
  <c r="N20" i="12" l="1"/>
  <c r="N28" i="12"/>
  <c r="N28" i="15"/>
  <c r="N26" i="13"/>
  <c r="N21" i="14"/>
  <c r="N25" i="15"/>
  <c r="N27" i="16"/>
  <c r="N22" i="14"/>
  <c r="AW43" i="5"/>
  <c r="AW44" i="5" s="1"/>
  <c r="AW45" i="5"/>
  <c r="AW46" i="5" s="1"/>
  <c r="CL45" i="5"/>
  <c r="CL46" i="5" s="1"/>
  <c r="E49" i="10" s="1"/>
  <c r="CM45" i="5"/>
  <c r="CM46" i="5" s="1"/>
  <c r="G49" i="10" s="1"/>
  <c r="AU56" i="5"/>
  <c r="AU57" i="5" s="1"/>
  <c r="AT58" i="5"/>
  <c r="AU58" i="5"/>
  <c r="AU60" i="5"/>
  <c r="AT54" i="5"/>
  <c r="AV66" i="5"/>
  <c r="AX68" i="5"/>
  <c r="AU66" i="5"/>
  <c r="AT60" i="5"/>
  <c r="AV68" i="5"/>
  <c r="AT66" i="5"/>
  <c r="AU68" i="5"/>
  <c r="AT68" i="5"/>
  <c r="BA66" i="5"/>
  <c r="AY66" i="5"/>
  <c r="BA68" i="5"/>
  <c r="AX66" i="5"/>
  <c r="AY68" i="5"/>
  <c r="AU54" i="5"/>
  <c r="CL43" i="5"/>
  <c r="CL44" i="5" s="1"/>
  <c r="CM43" i="5"/>
  <c r="CM44" i="5" s="1"/>
  <c r="AT56" i="5"/>
  <c r="AT57" i="5" s="1"/>
  <c r="N39" i="16"/>
  <c r="N23" i="13"/>
  <c r="N32" i="15"/>
  <c r="N24" i="14"/>
  <c r="N21" i="15"/>
  <c r="N27" i="15"/>
  <c r="N22" i="13"/>
  <c r="N30" i="13"/>
  <c r="F52" i="16"/>
  <c r="F56" i="16" s="1"/>
  <c r="F60" i="16" s="1"/>
  <c r="N21" i="13"/>
  <c r="N33" i="14"/>
  <c r="N29" i="15"/>
  <c r="N25" i="14"/>
  <c r="N35" i="14"/>
  <c r="N39" i="15"/>
  <c r="N24" i="12"/>
  <c r="N20" i="13"/>
  <c r="N32" i="13"/>
  <c r="N28" i="13"/>
  <c r="N32" i="14"/>
  <c r="N27" i="14"/>
  <c r="F52" i="15"/>
  <c r="F56" i="15" s="1"/>
  <c r="F60" i="15" s="1"/>
  <c r="N34" i="14"/>
  <c r="G28" i="10"/>
  <c r="N23" i="14"/>
  <c r="N35" i="13"/>
  <c r="N29" i="14"/>
  <c r="H12" i="14"/>
  <c r="H40" i="14" s="1"/>
  <c r="F28" i="10"/>
  <c r="F29" i="10" s="1"/>
  <c r="H10" i="14"/>
  <c r="H38" i="14" s="1"/>
  <c r="G11" i="14"/>
  <c r="E27" i="10"/>
  <c r="G10" i="14"/>
  <c r="E26" i="10"/>
  <c r="I11" i="14"/>
  <c r="I39" i="14" s="1"/>
  <c r="AB39" i="14" s="1"/>
  <c r="G27" i="10"/>
  <c r="E28" i="10"/>
  <c r="G12" i="14"/>
  <c r="F13" i="14"/>
  <c r="F16" i="14" s="1"/>
  <c r="F38" i="14"/>
  <c r="F41" i="14" s="1"/>
  <c r="F43" i="14" s="1"/>
  <c r="L38" i="14"/>
  <c r="N10" i="14"/>
  <c r="L12" i="14"/>
  <c r="L13" i="14" s="1"/>
  <c r="J28" i="10"/>
  <c r="M38" i="14"/>
  <c r="M41" i="14" s="1"/>
  <c r="M13" i="14"/>
  <c r="I10" i="14"/>
  <c r="J26" i="10"/>
  <c r="K26" i="10"/>
  <c r="K28" i="10"/>
  <c r="K10" i="14"/>
  <c r="D26" i="10"/>
  <c r="D28" i="10"/>
  <c r="N39" i="14"/>
  <c r="F67" i="14"/>
  <c r="N24" i="13"/>
  <c r="N27" i="13"/>
  <c r="N29" i="13"/>
  <c r="N21" i="12"/>
  <c r="N33" i="12"/>
  <c r="N35" i="12"/>
  <c r="N25" i="13"/>
  <c r="N34" i="13"/>
  <c r="N39" i="13"/>
  <c r="N23" i="12"/>
  <c r="N26" i="12"/>
  <c r="N29" i="12"/>
  <c r="N32" i="12"/>
  <c r="F52" i="13"/>
  <c r="F56" i="13" s="1"/>
  <c r="F60" i="13" s="1"/>
  <c r="N22" i="12"/>
  <c r="N25" i="12"/>
  <c r="N27" i="12"/>
  <c r="N30" i="12"/>
  <c r="N34" i="12"/>
  <c r="CL38" i="5"/>
  <c r="CL39" i="5" s="1"/>
  <c r="CM38" i="5"/>
  <c r="CM39" i="5" s="1"/>
  <c r="AW38" i="5"/>
  <c r="AW39" i="5" s="1"/>
  <c r="AV5" i="5"/>
  <c r="BC5" i="5" s="1"/>
  <c r="AX13" i="5"/>
  <c r="BD13" i="5" s="1"/>
  <c r="CM36" i="5"/>
  <c r="CM37" i="5" s="1"/>
  <c r="AV13" i="5"/>
  <c r="BO13" i="5" s="1"/>
  <c r="CL36" i="5"/>
  <c r="CL37" i="5" s="1"/>
  <c r="AT4" i="5"/>
  <c r="BA4" i="5" s="1"/>
  <c r="N39" i="12"/>
  <c r="F52" i="12"/>
  <c r="F56" i="12" s="1"/>
  <c r="F60" i="12" s="1"/>
  <c r="AU13" i="5"/>
  <c r="BB13" i="5" s="1"/>
  <c r="AX16" i="5"/>
  <c r="BD16" i="5" s="1"/>
  <c r="BF33" i="5"/>
  <c r="AU21" i="5"/>
  <c r="BN21" i="5" s="1"/>
  <c r="AX21" i="5"/>
  <c r="BD21" i="5" s="1"/>
  <c r="BF25" i="5"/>
  <c r="AX22" i="5"/>
  <c r="BD22" i="5" s="1"/>
  <c r="AT28" i="5"/>
  <c r="AZ28" i="5" s="1"/>
  <c r="AX24" i="5"/>
  <c r="BD24" i="5" s="1"/>
  <c r="BI26" i="5"/>
  <c r="AT14" i="5"/>
  <c r="AV14" i="5" s="1"/>
  <c r="AX29" i="5"/>
  <c r="BD29" i="5" s="1"/>
  <c r="BI17" i="5"/>
  <c r="AT12" i="5"/>
  <c r="AY12" i="5" s="1"/>
  <c r="AX5" i="5"/>
  <c r="AX32" i="5"/>
  <c r="BD32" i="5" s="1"/>
  <c r="AT6" i="5"/>
  <c r="AZ6" i="5" s="1"/>
  <c r="AX8" i="5"/>
  <c r="BD8" i="5" s="1"/>
  <c r="BQ17" i="5"/>
  <c r="CK30" i="5"/>
  <c r="CG30" i="5"/>
  <c r="CF30" i="5"/>
  <c r="CE30" i="5"/>
  <c r="CD30" i="5"/>
  <c r="CC30" i="5"/>
  <c r="CA30" i="5"/>
  <c r="BY30" i="5"/>
  <c r="CI30" i="5"/>
  <c r="BQ30" i="5"/>
  <c r="BM30" i="5"/>
  <c r="BW30" i="5"/>
  <c r="BV30" i="5"/>
  <c r="BU30" i="5"/>
  <c r="BT30" i="5"/>
  <c r="BS30" i="5"/>
  <c r="BR30" i="5"/>
  <c r="BK30" i="5"/>
  <c r="BJ30" i="5"/>
  <c r="BI30" i="5"/>
  <c r="BH30" i="5"/>
  <c r="BG30" i="5"/>
  <c r="BF30" i="5"/>
  <c r="BE30" i="5"/>
  <c r="BA30" i="5"/>
  <c r="AY30" i="5"/>
  <c r="AV30" i="5"/>
  <c r="BO30" i="5" s="1"/>
  <c r="AU30" i="5"/>
  <c r="BN30" i="5" s="1"/>
  <c r="AZ30" i="5"/>
  <c r="CK22" i="5"/>
  <c r="CG22" i="5"/>
  <c r="CF22" i="5"/>
  <c r="CE22" i="5"/>
  <c r="CD22" i="5"/>
  <c r="CC22" i="5"/>
  <c r="CA22" i="5"/>
  <c r="BY22" i="5"/>
  <c r="CI22" i="5"/>
  <c r="BV22" i="5"/>
  <c r="BU22" i="5"/>
  <c r="BT22" i="5"/>
  <c r="BS22" i="5"/>
  <c r="BR22" i="5"/>
  <c r="BM22" i="5"/>
  <c r="BQ22" i="5"/>
  <c r="BK22" i="5"/>
  <c r="BJ22" i="5"/>
  <c r="BI22" i="5"/>
  <c r="BH22" i="5"/>
  <c r="BG22" i="5"/>
  <c r="BF22" i="5"/>
  <c r="BW22" i="5"/>
  <c r="BE22" i="5"/>
  <c r="AZ22" i="5"/>
  <c r="AV22" i="5"/>
  <c r="BC22" i="5" s="1"/>
  <c r="AU22" i="5"/>
  <c r="BN22" i="5" s="1"/>
  <c r="BA22" i="5"/>
  <c r="AY22" i="5"/>
  <c r="AV32" i="5"/>
  <c r="BC32" i="5" s="1"/>
  <c r="BN8" i="5"/>
  <c r="BV10" i="5"/>
  <c r="AU5" i="5"/>
  <c r="BN5" i="5" s="1"/>
  <c r="BH33" i="5"/>
  <c r="BI10" i="5"/>
  <c r="BQ8" i="5"/>
  <c r="BQ32" i="5"/>
  <c r="BW4" i="5"/>
  <c r="CK29" i="5"/>
  <c r="CG29" i="5"/>
  <c r="CF29" i="5"/>
  <c r="CE29" i="5"/>
  <c r="CD29" i="5"/>
  <c r="CC29" i="5"/>
  <c r="CA29" i="5"/>
  <c r="BZ29" i="5"/>
  <c r="BY29" i="5"/>
  <c r="CH29" i="5"/>
  <c r="CI29" i="5"/>
  <c r="BW29" i="5"/>
  <c r="BV29" i="5"/>
  <c r="BU29" i="5"/>
  <c r="BT29" i="5"/>
  <c r="BS29" i="5"/>
  <c r="BR29" i="5"/>
  <c r="BQ29" i="5"/>
  <c r="CJ29" i="5"/>
  <c r="BL29" i="5"/>
  <c r="BK29" i="5"/>
  <c r="BJ29" i="5"/>
  <c r="BI29" i="5"/>
  <c r="BH29" i="5"/>
  <c r="BG29" i="5"/>
  <c r="BF29" i="5"/>
  <c r="BX29" i="5"/>
  <c r="BM29" i="5"/>
  <c r="BE29" i="5"/>
  <c r="BA29" i="5"/>
  <c r="AZ29" i="5"/>
  <c r="AY29" i="5"/>
  <c r="CK21" i="5"/>
  <c r="CJ21" i="5"/>
  <c r="CG21" i="5"/>
  <c r="CF21" i="5"/>
  <c r="CE21" i="5"/>
  <c r="CD21" i="5"/>
  <c r="CC21" i="5"/>
  <c r="CA21" i="5"/>
  <c r="BZ21" i="5"/>
  <c r="BY21" i="5"/>
  <c r="BX21" i="5"/>
  <c r="CI21" i="5"/>
  <c r="CH21" i="5"/>
  <c r="BW21" i="5"/>
  <c r="BV21" i="5"/>
  <c r="BU21" i="5"/>
  <c r="BT21" i="5"/>
  <c r="BS21" i="5"/>
  <c r="BR21" i="5"/>
  <c r="BQ21" i="5"/>
  <c r="BK21" i="5"/>
  <c r="BJ21" i="5"/>
  <c r="BI21" i="5"/>
  <c r="BH21" i="5"/>
  <c r="BG21" i="5"/>
  <c r="BF21" i="5"/>
  <c r="BO21" i="5"/>
  <c r="BM21" i="5"/>
  <c r="BL21" i="5"/>
  <c r="BE21" i="5"/>
  <c r="BC21" i="5"/>
  <c r="BA21" i="5"/>
  <c r="AZ21" i="5"/>
  <c r="AY21" i="5"/>
  <c r="CK13" i="5"/>
  <c r="CG13" i="5"/>
  <c r="CF13" i="5"/>
  <c r="CE13" i="5"/>
  <c r="CD13" i="5"/>
  <c r="CC13" i="5"/>
  <c r="CA13" i="5"/>
  <c r="BY13" i="5"/>
  <c r="CI13" i="5"/>
  <c r="BW13" i="5"/>
  <c r="BV13" i="5"/>
  <c r="BU13" i="5"/>
  <c r="BT13" i="5"/>
  <c r="BS13" i="5"/>
  <c r="BR13" i="5"/>
  <c r="BQ13" i="5"/>
  <c r="BK13" i="5"/>
  <c r="BJ13" i="5"/>
  <c r="BI13" i="5"/>
  <c r="BH13" i="5"/>
  <c r="BG13" i="5"/>
  <c r="BF13" i="5"/>
  <c r="BE13" i="5"/>
  <c r="BM13" i="5"/>
  <c r="BA13" i="5"/>
  <c r="AZ13" i="5"/>
  <c r="AY13" i="5"/>
  <c r="CK5" i="5"/>
  <c r="CG5" i="5"/>
  <c r="CF5" i="5"/>
  <c r="CE5" i="5"/>
  <c r="CD5" i="5"/>
  <c r="CC5" i="5"/>
  <c r="CA5" i="5"/>
  <c r="BZ5" i="5"/>
  <c r="BY5" i="5"/>
  <c r="CH5" i="5"/>
  <c r="CI5" i="5"/>
  <c r="BW5" i="5"/>
  <c r="BV5" i="5"/>
  <c r="BU5" i="5"/>
  <c r="BT5" i="5"/>
  <c r="BS5" i="5"/>
  <c r="BR5" i="5"/>
  <c r="BQ5" i="5"/>
  <c r="BL5" i="5"/>
  <c r="CJ5" i="5"/>
  <c r="BK5" i="5"/>
  <c r="BJ5" i="5"/>
  <c r="BI5" i="5"/>
  <c r="BH5" i="5"/>
  <c r="BG5" i="5"/>
  <c r="BF5" i="5"/>
  <c r="BE5" i="5"/>
  <c r="BM5" i="5"/>
  <c r="BA5" i="5"/>
  <c r="AZ5" i="5"/>
  <c r="AY5" i="5"/>
  <c r="AT20" i="5"/>
  <c r="AU29" i="5"/>
  <c r="BB29" i="5" s="1"/>
  <c r="AV16" i="5"/>
  <c r="BC16" i="5" s="1"/>
  <c r="AT23" i="5"/>
  <c r="AT15" i="5"/>
  <c r="AX30" i="5"/>
  <c r="BJ26" i="5"/>
  <c r="BM32" i="5"/>
  <c r="CK16" i="5"/>
  <c r="CJ16" i="5"/>
  <c r="CG16" i="5"/>
  <c r="CF16" i="5"/>
  <c r="CE16" i="5"/>
  <c r="CD16" i="5"/>
  <c r="CC16" i="5"/>
  <c r="CA16" i="5"/>
  <c r="BZ16" i="5"/>
  <c r="BY16" i="5"/>
  <c r="BX16" i="5"/>
  <c r="BK16" i="5"/>
  <c r="BJ16" i="5"/>
  <c r="BI16" i="5"/>
  <c r="BH16" i="5"/>
  <c r="BG16" i="5"/>
  <c r="BF16" i="5"/>
  <c r="CI16" i="5"/>
  <c r="BQ16" i="5"/>
  <c r="BE16" i="5"/>
  <c r="BA16" i="5"/>
  <c r="AZ16" i="5"/>
  <c r="AY16" i="5"/>
  <c r="CH16" i="5"/>
  <c r="BV16" i="5"/>
  <c r="BU16" i="5"/>
  <c r="BW16" i="5"/>
  <c r="BT16" i="5"/>
  <c r="BS16" i="5"/>
  <c r="BR16" i="5"/>
  <c r="BM16" i="5"/>
  <c r="CK24" i="5"/>
  <c r="CG24" i="5"/>
  <c r="CF24" i="5"/>
  <c r="CE24" i="5"/>
  <c r="CD24" i="5"/>
  <c r="CC24" i="5"/>
  <c r="CA24" i="5"/>
  <c r="BZ24" i="5"/>
  <c r="BY24" i="5"/>
  <c r="BK24" i="5"/>
  <c r="BJ24" i="5"/>
  <c r="BI24" i="5"/>
  <c r="BH24" i="5"/>
  <c r="BG24" i="5"/>
  <c r="BF24" i="5"/>
  <c r="BV24" i="5"/>
  <c r="BU24" i="5"/>
  <c r="BT24" i="5"/>
  <c r="BS24" i="5"/>
  <c r="BR24" i="5"/>
  <c r="BW24" i="5"/>
  <c r="BL24" i="5"/>
  <c r="BX24" i="5"/>
  <c r="BQ24" i="5"/>
  <c r="CJ24" i="5"/>
  <c r="CI24" i="5"/>
  <c r="BE24" i="5"/>
  <c r="BB24" i="5"/>
  <c r="BA24" i="5"/>
  <c r="AZ24" i="5"/>
  <c r="AY24" i="5"/>
  <c r="BM24" i="5"/>
  <c r="CH24" i="5"/>
  <c r="BN24" i="5"/>
  <c r="CI2" i="5"/>
  <c r="CK2" i="5"/>
  <c r="CG2" i="5"/>
  <c r="CF2" i="5"/>
  <c r="CE2" i="5"/>
  <c r="CD2" i="5"/>
  <c r="CC2" i="5"/>
  <c r="CA2" i="5"/>
  <c r="BR2" i="5"/>
  <c r="BK2" i="5"/>
  <c r="BY2" i="5"/>
  <c r="BQ2" i="5"/>
  <c r="BM2" i="5"/>
  <c r="BT2" i="5"/>
  <c r="BJ2" i="5"/>
  <c r="AV2" i="5"/>
  <c r="BO2" i="5" s="1"/>
  <c r="AU2" i="5"/>
  <c r="BS2" i="5"/>
  <c r="BI2" i="5"/>
  <c r="BG2" i="5"/>
  <c r="BE2" i="5"/>
  <c r="BA2" i="5"/>
  <c r="AZ2" i="5"/>
  <c r="AY2" i="5"/>
  <c r="BH2" i="5"/>
  <c r="BF2" i="5"/>
  <c r="BW2" i="5"/>
  <c r="BV2" i="5"/>
  <c r="CJ32" i="5"/>
  <c r="BX32" i="5"/>
  <c r="CK32" i="5"/>
  <c r="CG32" i="5"/>
  <c r="CF32" i="5"/>
  <c r="CE32" i="5"/>
  <c r="CD32" i="5"/>
  <c r="CC32" i="5"/>
  <c r="CA32" i="5"/>
  <c r="BZ32" i="5"/>
  <c r="BY32" i="5"/>
  <c r="CH32" i="5"/>
  <c r="BW32" i="5"/>
  <c r="BV32" i="5"/>
  <c r="BU32" i="5"/>
  <c r="BT32" i="5"/>
  <c r="BS32" i="5"/>
  <c r="BR32" i="5"/>
  <c r="BK32" i="5"/>
  <c r="BJ32" i="5"/>
  <c r="BI32" i="5"/>
  <c r="BH32" i="5"/>
  <c r="BG32" i="5"/>
  <c r="BF32" i="5"/>
  <c r="BL32" i="5"/>
  <c r="CI32" i="5"/>
  <c r="BN32" i="5"/>
  <c r="BE32" i="5"/>
  <c r="BB32" i="5"/>
  <c r="BA32" i="5"/>
  <c r="AZ32" i="5"/>
  <c r="AY32" i="5"/>
  <c r="CK8" i="5"/>
  <c r="CG8" i="5"/>
  <c r="CF8" i="5"/>
  <c r="CE8" i="5"/>
  <c r="CD8" i="5"/>
  <c r="CC8" i="5"/>
  <c r="CA8" i="5"/>
  <c r="BY8" i="5"/>
  <c r="BK8" i="5"/>
  <c r="BJ8" i="5"/>
  <c r="BI8" i="5"/>
  <c r="BH8" i="5"/>
  <c r="BG8" i="5"/>
  <c r="BF8" i="5"/>
  <c r="CI8" i="5"/>
  <c r="BW8" i="5"/>
  <c r="BV8" i="5"/>
  <c r="BU8" i="5"/>
  <c r="BT8" i="5"/>
  <c r="BS8" i="5"/>
  <c r="BR8" i="5"/>
  <c r="BB8" i="5"/>
  <c r="BA8" i="5"/>
  <c r="AZ8" i="5"/>
  <c r="AY8" i="5"/>
  <c r="BE8" i="5"/>
  <c r="BM8" i="5"/>
  <c r="AV8" i="5"/>
  <c r="BO8" i="5" s="1"/>
  <c r="CH26" i="5"/>
  <c r="CI26" i="5"/>
  <c r="CJ26" i="5"/>
  <c r="BX26" i="5"/>
  <c r="CK26" i="5"/>
  <c r="CG26" i="5"/>
  <c r="CF26" i="5"/>
  <c r="CE26" i="5"/>
  <c r="CD26" i="5"/>
  <c r="CC26" i="5"/>
  <c r="CA26" i="5"/>
  <c r="BK26" i="5"/>
  <c r="BV26" i="5"/>
  <c r="BU26" i="5"/>
  <c r="BT26" i="5"/>
  <c r="BS26" i="5"/>
  <c r="BR26" i="5"/>
  <c r="BW26" i="5"/>
  <c r="BL26" i="5"/>
  <c r="BM26" i="5"/>
  <c r="BH26" i="5"/>
  <c r="BF26" i="5"/>
  <c r="AV26" i="5"/>
  <c r="AU26" i="5"/>
  <c r="BZ26" i="5"/>
  <c r="BQ26" i="5"/>
  <c r="BE26" i="5"/>
  <c r="BA26" i="5"/>
  <c r="AZ26" i="5"/>
  <c r="AY26" i="5"/>
  <c r="BY26" i="5"/>
  <c r="CI18" i="5"/>
  <c r="CH18" i="5"/>
  <c r="BW18" i="5"/>
  <c r="CK18" i="5"/>
  <c r="CJ18" i="5"/>
  <c r="CG18" i="5"/>
  <c r="CF18" i="5"/>
  <c r="CE18" i="5"/>
  <c r="CD18" i="5"/>
  <c r="CC18" i="5"/>
  <c r="CA18" i="5"/>
  <c r="BZ18" i="5"/>
  <c r="BQ18" i="5"/>
  <c r="BK18" i="5"/>
  <c r="BY18" i="5"/>
  <c r="BV18" i="5"/>
  <c r="BU18" i="5"/>
  <c r="BT18" i="5"/>
  <c r="BS18" i="5"/>
  <c r="BR18" i="5"/>
  <c r="BM18" i="5"/>
  <c r="BL18" i="5"/>
  <c r="BX18" i="5"/>
  <c r="BJ18" i="5"/>
  <c r="BI18" i="5"/>
  <c r="AV18" i="5"/>
  <c r="BO18" i="5" s="1"/>
  <c r="AU18" i="5"/>
  <c r="BN18" i="5" s="1"/>
  <c r="BE18" i="5"/>
  <c r="BA18" i="5"/>
  <c r="AZ18" i="5"/>
  <c r="AY18" i="5"/>
  <c r="BH18" i="5"/>
  <c r="BF18" i="5"/>
  <c r="CI10" i="5"/>
  <c r="BW10" i="5"/>
  <c r="CK10" i="5"/>
  <c r="CG10" i="5"/>
  <c r="CF10" i="5"/>
  <c r="CE10" i="5"/>
  <c r="CD10" i="5"/>
  <c r="CC10" i="5"/>
  <c r="CA10" i="5"/>
  <c r="BK10" i="5"/>
  <c r="BM10" i="5"/>
  <c r="BU10" i="5"/>
  <c r="AV10" i="5"/>
  <c r="BO10" i="5" s="1"/>
  <c r="AU10" i="5"/>
  <c r="BB10" i="5" s="1"/>
  <c r="BT10" i="5"/>
  <c r="BS10" i="5"/>
  <c r="BG10" i="5"/>
  <c r="BA10" i="5"/>
  <c r="AZ10" i="5"/>
  <c r="AY10" i="5"/>
  <c r="BR10" i="5"/>
  <c r="BE10" i="5"/>
  <c r="BY10" i="5"/>
  <c r="BQ10" i="5"/>
  <c r="BF10" i="5"/>
  <c r="BH10" i="5"/>
  <c r="AT31" i="5"/>
  <c r="AV24" i="5"/>
  <c r="BO24" i="5" s="1"/>
  <c r="CI33" i="5"/>
  <c r="BW33" i="5"/>
  <c r="BV33" i="5"/>
  <c r="BU33" i="5"/>
  <c r="BT33" i="5"/>
  <c r="BS33" i="5"/>
  <c r="CK33" i="5"/>
  <c r="CG33" i="5"/>
  <c r="CF33" i="5"/>
  <c r="CE33" i="5"/>
  <c r="CD33" i="5"/>
  <c r="CC33" i="5"/>
  <c r="CA33" i="5"/>
  <c r="BY33" i="5"/>
  <c r="BQ33" i="5"/>
  <c r="BM33" i="5"/>
  <c r="BK33" i="5"/>
  <c r="BI33" i="5"/>
  <c r="BG33" i="5"/>
  <c r="BE33" i="5"/>
  <c r="BA33" i="5"/>
  <c r="AZ33" i="5"/>
  <c r="AY33" i="5"/>
  <c r="BR33" i="5"/>
  <c r="AV33" i="5"/>
  <c r="BO33" i="5" s="1"/>
  <c r="AU33" i="5"/>
  <c r="BN33" i="5" s="1"/>
  <c r="CI25" i="5"/>
  <c r="BW25" i="5"/>
  <c r="BV25" i="5"/>
  <c r="BU25" i="5"/>
  <c r="BT25" i="5"/>
  <c r="BS25" i="5"/>
  <c r="BR25" i="5"/>
  <c r="CJ25" i="5"/>
  <c r="BX25" i="5"/>
  <c r="CK25" i="5"/>
  <c r="CG25" i="5"/>
  <c r="CF25" i="5"/>
  <c r="CE25" i="5"/>
  <c r="CD25" i="5"/>
  <c r="CC25" i="5"/>
  <c r="CA25" i="5"/>
  <c r="BZ25" i="5"/>
  <c r="BY25" i="5"/>
  <c r="CH25" i="5"/>
  <c r="BM25" i="5"/>
  <c r="BQ25" i="5"/>
  <c r="BE25" i="5"/>
  <c r="BA25" i="5"/>
  <c r="AZ25" i="5"/>
  <c r="AY25" i="5"/>
  <c r="BL25" i="5"/>
  <c r="BJ25" i="5"/>
  <c r="BI25" i="5"/>
  <c r="BG25" i="5"/>
  <c r="AV25" i="5"/>
  <c r="BC25" i="5" s="1"/>
  <c r="AU25" i="5"/>
  <c r="BN25" i="5" s="1"/>
  <c r="BK25" i="5"/>
  <c r="CI17" i="5"/>
  <c r="CH17" i="5"/>
  <c r="BW17" i="5"/>
  <c r="BV17" i="5"/>
  <c r="BU17" i="5"/>
  <c r="BT17" i="5"/>
  <c r="BS17" i="5"/>
  <c r="BR17" i="5"/>
  <c r="CK17" i="5"/>
  <c r="CJ17" i="5"/>
  <c r="CG17" i="5"/>
  <c r="CF17" i="5"/>
  <c r="CE17" i="5"/>
  <c r="CD17" i="5"/>
  <c r="CC17" i="5"/>
  <c r="CA17" i="5"/>
  <c r="BZ17" i="5"/>
  <c r="BY17" i="5"/>
  <c r="BX17" i="5"/>
  <c r="BM17" i="5"/>
  <c r="BL17" i="5"/>
  <c r="BE17" i="5"/>
  <c r="BA17" i="5"/>
  <c r="AZ17" i="5"/>
  <c r="AY17" i="5"/>
  <c r="BK17" i="5"/>
  <c r="BH17" i="5"/>
  <c r="BF17" i="5"/>
  <c r="AV17" i="5"/>
  <c r="AU17" i="5"/>
  <c r="BG17" i="5"/>
  <c r="CI9" i="5"/>
  <c r="BW9" i="5"/>
  <c r="BV9" i="5"/>
  <c r="BU9" i="5"/>
  <c r="BT9" i="5"/>
  <c r="BS9" i="5"/>
  <c r="BR9" i="5"/>
  <c r="CK9" i="5"/>
  <c r="CG9" i="5"/>
  <c r="CF9" i="5"/>
  <c r="CE9" i="5"/>
  <c r="CD9" i="5"/>
  <c r="CC9" i="5"/>
  <c r="CA9" i="5"/>
  <c r="BY9" i="5"/>
  <c r="BQ9" i="5"/>
  <c r="BM9" i="5"/>
  <c r="BG9" i="5"/>
  <c r="BA9" i="5"/>
  <c r="AZ9" i="5"/>
  <c r="AY9" i="5"/>
  <c r="BE9" i="5"/>
  <c r="BJ9" i="5"/>
  <c r="BI9" i="5"/>
  <c r="AV9" i="5"/>
  <c r="BC9" i="5" s="1"/>
  <c r="AU9" i="5"/>
  <c r="BN9" i="5" s="1"/>
  <c r="BH9" i="5"/>
  <c r="BF9" i="5"/>
  <c r="AT7" i="5"/>
  <c r="AU16" i="5"/>
  <c r="BB16" i="5" s="1"/>
  <c r="AV29" i="5"/>
  <c r="BC29" i="5" s="1"/>
  <c r="BG18" i="5"/>
  <c r="BU2" i="5"/>
  <c r="AT27" i="5"/>
  <c r="AT19" i="5"/>
  <c r="AT11" i="5"/>
  <c r="AT3" i="5"/>
  <c r="AX9" i="5"/>
  <c r="BD9" i="5" s="1"/>
  <c r="AX17" i="5"/>
  <c r="AX25" i="5"/>
  <c r="BD25" i="5" s="1"/>
  <c r="AX33" i="5"/>
  <c r="BD33" i="5" s="1"/>
  <c r="AX2" i="5"/>
  <c r="AX10" i="5"/>
  <c r="AX18" i="5"/>
  <c r="AX26" i="5"/>
  <c r="AW36" i="5"/>
  <c r="AW37" i="5" s="1"/>
  <c r="E51" i="9"/>
  <c r="AU69" i="5" l="1"/>
  <c r="AT61" i="5"/>
  <c r="AV69" i="5"/>
  <c r="AT69" i="5"/>
  <c r="AU67" i="5"/>
  <c r="AX69" i="5"/>
  <c r="AX67" i="5"/>
  <c r="AS54" i="5"/>
  <c r="AS55" i="5" s="1"/>
  <c r="AT67" i="5"/>
  <c r="AY67" i="5"/>
  <c r="AV67" i="5"/>
  <c r="G29" i="10"/>
  <c r="I11" i="16"/>
  <c r="I39" i="16" s="1"/>
  <c r="AB39" i="16" s="1"/>
  <c r="H49" i="10"/>
  <c r="G11" i="16"/>
  <c r="AB11" i="16" s="1"/>
  <c r="AX45" i="5"/>
  <c r="AX46" i="5" s="1"/>
  <c r="AS58" i="5"/>
  <c r="AS59" i="5" s="1"/>
  <c r="BA67" i="5"/>
  <c r="AS56" i="5"/>
  <c r="AS57" i="5" s="1"/>
  <c r="I11" i="15"/>
  <c r="I39" i="15" s="1"/>
  <c r="AB39" i="15" s="1"/>
  <c r="G38" i="10"/>
  <c r="G11" i="15"/>
  <c r="E38" i="10"/>
  <c r="AS43" i="5"/>
  <c r="AS44" i="5" s="1"/>
  <c r="AS60" i="5"/>
  <c r="AS61" i="5" s="1"/>
  <c r="AT55" i="5"/>
  <c r="AS45" i="5"/>
  <c r="AS46" i="5" s="1"/>
  <c r="BN26" i="5"/>
  <c r="AT59" i="5"/>
  <c r="BO26" i="5"/>
  <c r="H28" i="10"/>
  <c r="AX43" i="5"/>
  <c r="AX44" i="5" s="1"/>
  <c r="BA69" i="5"/>
  <c r="BT12" i="5"/>
  <c r="BV12" i="5"/>
  <c r="AU55" i="5"/>
  <c r="AY69" i="5"/>
  <c r="AU59" i="5"/>
  <c r="AT45" i="5"/>
  <c r="AT46" i="5" s="1"/>
  <c r="AU61" i="5"/>
  <c r="F67" i="16"/>
  <c r="F67" i="15"/>
  <c r="D29" i="10"/>
  <c r="D32" i="10" s="1"/>
  <c r="H41" i="14"/>
  <c r="N38" i="14"/>
  <c r="H13" i="14"/>
  <c r="BB17" i="5"/>
  <c r="AT43" i="5"/>
  <c r="AT44" i="5" s="1"/>
  <c r="BC17" i="5"/>
  <c r="G40" i="14"/>
  <c r="J40" i="14" s="1"/>
  <c r="J12" i="14"/>
  <c r="K29" i="10"/>
  <c r="L28" i="10"/>
  <c r="J29" i="10"/>
  <c r="N12" i="14"/>
  <c r="N13" i="14" s="1"/>
  <c r="L40" i="14"/>
  <c r="AB10" i="14"/>
  <c r="I13" i="14"/>
  <c r="I38" i="14"/>
  <c r="E29" i="10"/>
  <c r="H26" i="10"/>
  <c r="G38" i="14"/>
  <c r="G13" i="14"/>
  <c r="AA10" i="14"/>
  <c r="J10" i="14"/>
  <c r="H27" i="10"/>
  <c r="F44" i="14"/>
  <c r="L26" i="10"/>
  <c r="J11" i="14"/>
  <c r="AB11" i="14"/>
  <c r="AB45" i="14" s="1"/>
  <c r="G39" i="14"/>
  <c r="AA11" i="14"/>
  <c r="F45" i="14"/>
  <c r="F75" i="14"/>
  <c r="F80" i="14" s="1"/>
  <c r="BP32" i="5"/>
  <c r="CB32" i="5" s="1"/>
  <c r="BF12" i="5"/>
  <c r="AX36" i="5"/>
  <c r="AX37" i="5" s="1"/>
  <c r="BV28" i="5"/>
  <c r="BI28" i="5"/>
  <c r="BS28" i="5"/>
  <c r="BI12" i="5"/>
  <c r="CG12" i="5"/>
  <c r="CK12" i="5"/>
  <c r="CD12" i="5"/>
  <c r="BM12" i="5"/>
  <c r="CE12" i="5"/>
  <c r="BZ8" i="5"/>
  <c r="BR12" i="5"/>
  <c r="AV4" i="5"/>
  <c r="BC4" i="5" s="1"/>
  <c r="AZ12" i="5"/>
  <c r="BJ12" i="5"/>
  <c r="BH12" i="5"/>
  <c r="CA12" i="5"/>
  <c r="CC4" i="5"/>
  <c r="BS12" i="5"/>
  <c r="BK12" i="5"/>
  <c r="CC12" i="5"/>
  <c r="BV4" i="5"/>
  <c r="BU12" i="5"/>
  <c r="CF12" i="5"/>
  <c r="BW12" i="5"/>
  <c r="CF4" i="5"/>
  <c r="AU12" i="5"/>
  <c r="BB12" i="5" s="1"/>
  <c r="BQ12" i="5"/>
  <c r="CI12" i="5"/>
  <c r="BA12" i="5"/>
  <c r="BP12" i="5" s="1"/>
  <c r="CJ4" i="5"/>
  <c r="BE12" i="5"/>
  <c r="AV12" i="5"/>
  <c r="BC12" i="5" s="1"/>
  <c r="BY12" i="5"/>
  <c r="BI4" i="5"/>
  <c r="CF6" i="5"/>
  <c r="BT6" i="5"/>
  <c r="BO5" i="5"/>
  <c r="BE6" i="5"/>
  <c r="BQ6" i="5"/>
  <c r="BV6" i="5"/>
  <c r="CE6" i="5"/>
  <c r="BF6" i="5"/>
  <c r="BM6" i="5"/>
  <c r="CG6" i="5"/>
  <c r="BP24" i="5"/>
  <c r="CB24" i="5" s="1"/>
  <c r="AU6" i="5"/>
  <c r="BB6" i="5" s="1"/>
  <c r="BU6" i="5"/>
  <c r="BD6" i="5"/>
  <c r="BG6" i="5"/>
  <c r="CI6" i="5"/>
  <c r="CK6" i="5"/>
  <c r="I11" i="13"/>
  <c r="I39" i="13" s="1"/>
  <c r="AB39" i="13" s="1"/>
  <c r="G16" i="10"/>
  <c r="BA6" i="5"/>
  <c r="BP6" i="5" s="1"/>
  <c r="BH6" i="5"/>
  <c r="BY6" i="5"/>
  <c r="AY6" i="5"/>
  <c r="G11" i="13"/>
  <c r="E16" i="10"/>
  <c r="BR6" i="5"/>
  <c r="BI6" i="5"/>
  <c r="CA6" i="5"/>
  <c r="BW6" i="5"/>
  <c r="BJ6" i="5"/>
  <c r="CC6" i="5"/>
  <c r="AV6" i="5"/>
  <c r="BO6" i="5" s="1"/>
  <c r="BS6" i="5"/>
  <c r="BK6" i="5"/>
  <c r="CD6" i="5"/>
  <c r="F67" i="13"/>
  <c r="BP8" i="5"/>
  <c r="CB8" i="5" s="1"/>
  <c r="CA28" i="5"/>
  <c r="CF28" i="5"/>
  <c r="BW28" i="5"/>
  <c r="BL28" i="5"/>
  <c r="BP17" i="5"/>
  <c r="AU28" i="5"/>
  <c r="BB28" i="5" s="1"/>
  <c r="BP13" i="5"/>
  <c r="BX13" i="5" s="1"/>
  <c r="BP16" i="5"/>
  <c r="CB16" i="5" s="1"/>
  <c r="BP10" i="5"/>
  <c r="BX10" i="5" s="1"/>
  <c r="BP18" i="5"/>
  <c r="BA14" i="5"/>
  <c r="BP14" i="5" s="1"/>
  <c r="CC14" i="5"/>
  <c r="BO32" i="5"/>
  <c r="CF14" i="5"/>
  <c r="BX14" i="5"/>
  <c r="BN29" i="5"/>
  <c r="BC14" i="5"/>
  <c r="BG14" i="5"/>
  <c r="CH14" i="5"/>
  <c r="AZ14" i="5"/>
  <c r="CJ14" i="5"/>
  <c r="BP30" i="5"/>
  <c r="BX30" i="5" s="1"/>
  <c r="BT14" i="5"/>
  <c r="CH4" i="5"/>
  <c r="BP21" i="5"/>
  <c r="CB21" i="5" s="1"/>
  <c r="AX38" i="5"/>
  <c r="AX39" i="5" s="1"/>
  <c r="BC13" i="5"/>
  <c r="BP29" i="5"/>
  <c r="CB29" i="5" s="1"/>
  <c r="BO16" i="5"/>
  <c r="BC18" i="5"/>
  <c r="AS38" i="5"/>
  <c r="AS39" i="5" s="1"/>
  <c r="AT38" i="5"/>
  <c r="AT39" i="5" s="1"/>
  <c r="BD14" i="5"/>
  <c r="BW14" i="5"/>
  <c r="BU14" i="5"/>
  <c r="CD14" i="5"/>
  <c r="BJ28" i="5"/>
  <c r="AV28" i="5"/>
  <c r="BC28" i="5" s="1"/>
  <c r="BT28" i="5"/>
  <c r="BM28" i="5"/>
  <c r="BN13" i="5"/>
  <c r="BZ13" i="5" s="1"/>
  <c r="BK4" i="5"/>
  <c r="BJ4" i="5"/>
  <c r="CE4" i="5"/>
  <c r="BM4" i="5"/>
  <c r="AU14" i="5"/>
  <c r="BB14" i="5" s="1"/>
  <c r="CD4" i="5"/>
  <c r="BF14" i="5"/>
  <c r="BL14" i="5"/>
  <c r="BV14" i="5"/>
  <c r="CE14" i="5"/>
  <c r="CJ28" i="5"/>
  <c r="BX28" i="5"/>
  <c r="BU28" i="5"/>
  <c r="BL4" i="5"/>
  <c r="AU4" i="5"/>
  <c r="BB4" i="5" s="1"/>
  <c r="CG4" i="5"/>
  <c r="BP4" i="5"/>
  <c r="BA28" i="5"/>
  <c r="BP28" i="5" s="1"/>
  <c r="BE28" i="5"/>
  <c r="BC33" i="5"/>
  <c r="AZ4" i="5"/>
  <c r="BH14" i="5"/>
  <c r="BM14" i="5"/>
  <c r="CI14" i="5"/>
  <c r="CG14" i="5"/>
  <c r="BQ28" i="5"/>
  <c r="CC28" i="5"/>
  <c r="BY28" i="5"/>
  <c r="CI28" i="5"/>
  <c r="BB21" i="5"/>
  <c r="BF4" i="5"/>
  <c r="BZ4" i="5"/>
  <c r="BR4" i="5"/>
  <c r="CI4" i="5"/>
  <c r="AY28" i="5"/>
  <c r="BP5" i="5"/>
  <c r="BD4" i="5"/>
  <c r="G11" i="12"/>
  <c r="E5" i="10"/>
  <c r="AY14" i="5"/>
  <c r="BI14" i="5"/>
  <c r="BO14" i="5"/>
  <c r="BY14" i="5"/>
  <c r="CK14" i="5"/>
  <c r="CK28" i="5"/>
  <c r="CE28" i="5"/>
  <c r="BZ28" i="5"/>
  <c r="BH4" i="5"/>
  <c r="BX4" i="5"/>
  <c r="BS4" i="5"/>
  <c r="BP26" i="5"/>
  <c r="BE4" i="5"/>
  <c r="BE14" i="5"/>
  <c r="BJ14" i="5"/>
  <c r="BR14" i="5"/>
  <c r="BZ14" i="5"/>
  <c r="BK28" i="5"/>
  <c r="BF28" i="5"/>
  <c r="CG28" i="5"/>
  <c r="CH28" i="5"/>
  <c r="BG4" i="5"/>
  <c r="BQ4" i="5"/>
  <c r="CK4" i="5"/>
  <c r="BT4" i="5"/>
  <c r="BP22" i="5"/>
  <c r="CB22" i="5" s="1"/>
  <c r="I11" i="12"/>
  <c r="I39" i="12" s="1"/>
  <c r="AB39" i="12" s="1"/>
  <c r="G5" i="10"/>
  <c r="BD17" i="5"/>
  <c r="BQ14" i="5"/>
  <c r="BK14" i="5"/>
  <c r="BS14" i="5"/>
  <c r="CA14" i="5"/>
  <c r="BG28" i="5"/>
  <c r="BH28" i="5"/>
  <c r="BR28" i="5"/>
  <c r="CD28" i="5"/>
  <c r="AY4" i="5"/>
  <c r="BY4" i="5"/>
  <c r="CA4" i="5"/>
  <c r="BU4" i="5"/>
  <c r="F67" i="12"/>
  <c r="BD12" i="5"/>
  <c r="BG12" i="5"/>
  <c r="BB25" i="5"/>
  <c r="BC2" i="5"/>
  <c r="BC24" i="5"/>
  <c r="BC10" i="5"/>
  <c r="BD5" i="5"/>
  <c r="BD18" i="5"/>
  <c r="BO29" i="5"/>
  <c r="BN17" i="5"/>
  <c r="BO9" i="5"/>
  <c r="BC8" i="5"/>
  <c r="BP33" i="5"/>
  <c r="CB33" i="5" s="1"/>
  <c r="BC26" i="5"/>
  <c r="BD28" i="5"/>
  <c r="BL13" i="5"/>
  <c r="BB22" i="5"/>
  <c r="BZ22" i="5" s="1"/>
  <c r="CJ23" i="5"/>
  <c r="BX23" i="5"/>
  <c r="CH23" i="5"/>
  <c r="CI23" i="5"/>
  <c r="CF23" i="5"/>
  <c r="CD23" i="5"/>
  <c r="BZ23" i="5"/>
  <c r="BY23" i="5"/>
  <c r="BW23" i="5"/>
  <c r="BL23" i="5"/>
  <c r="BM23" i="5"/>
  <c r="CG23" i="5"/>
  <c r="CE23" i="5"/>
  <c r="CC23" i="5"/>
  <c r="CA23" i="5"/>
  <c r="CK23" i="5"/>
  <c r="BQ23" i="5"/>
  <c r="BJ23" i="5"/>
  <c r="BI23" i="5"/>
  <c r="BG23" i="5"/>
  <c r="BV23" i="5"/>
  <c r="BU23" i="5"/>
  <c r="BT23" i="5"/>
  <c r="AV23" i="5"/>
  <c r="BC23" i="5" s="1"/>
  <c r="AU23" i="5"/>
  <c r="BN23" i="5" s="1"/>
  <c r="BH23" i="5"/>
  <c r="BS23" i="5"/>
  <c r="BF23" i="5"/>
  <c r="AZ23" i="5"/>
  <c r="BR23" i="5"/>
  <c r="BE23" i="5"/>
  <c r="BD23" i="5"/>
  <c r="BK23" i="5"/>
  <c r="BA23" i="5"/>
  <c r="BP23" i="5" s="1"/>
  <c r="AY23" i="5"/>
  <c r="BP9" i="5"/>
  <c r="CB9" i="5" s="1"/>
  <c r="BO25" i="5"/>
  <c r="BL33" i="5"/>
  <c r="BD10" i="5"/>
  <c r="BN10" i="5"/>
  <c r="BZ10" i="5" s="1"/>
  <c r="BB2" i="5"/>
  <c r="BB30" i="5"/>
  <c r="BZ30" i="5" s="1"/>
  <c r="BB9" i="5"/>
  <c r="BZ9" i="5" s="1"/>
  <c r="BB26" i="5"/>
  <c r="BB5" i="5"/>
  <c r="BC30" i="5"/>
  <c r="BP25" i="5"/>
  <c r="CB25" i="5" s="1"/>
  <c r="CF3" i="5"/>
  <c r="CD3" i="5"/>
  <c r="BW3" i="5"/>
  <c r="BV3" i="5"/>
  <c r="BU3" i="5"/>
  <c r="BT3" i="5"/>
  <c r="BS3" i="5"/>
  <c r="BR3" i="5"/>
  <c r="BQ3" i="5"/>
  <c r="BK3" i="5"/>
  <c r="BJ3" i="5"/>
  <c r="BI3" i="5"/>
  <c r="CG3" i="5"/>
  <c r="CE3" i="5"/>
  <c r="CC3" i="5"/>
  <c r="CA3" i="5"/>
  <c r="CK3" i="5"/>
  <c r="BY3" i="5"/>
  <c r="BM3" i="5"/>
  <c r="AV3" i="5"/>
  <c r="AU3" i="5"/>
  <c r="BH3" i="5"/>
  <c r="BF3" i="5"/>
  <c r="BD3" i="5"/>
  <c r="BA3" i="5"/>
  <c r="AZ3" i="5"/>
  <c r="AY3" i="5"/>
  <c r="BG3" i="5"/>
  <c r="BE3" i="5"/>
  <c r="CI3" i="5"/>
  <c r="BO17" i="5"/>
  <c r="BD2" i="5"/>
  <c r="BL2" i="5" s="1"/>
  <c r="BO22" i="5"/>
  <c r="BD30" i="5"/>
  <c r="BL30" i="5" s="1"/>
  <c r="CJ11" i="5"/>
  <c r="BX11" i="5"/>
  <c r="CH11" i="5"/>
  <c r="CK11" i="5"/>
  <c r="BV11" i="5"/>
  <c r="BU11" i="5"/>
  <c r="BT11" i="5"/>
  <c r="BS11" i="5"/>
  <c r="BR11" i="5"/>
  <c r="BY11" i="5"/>
  <c r="BQ11" i="5"/>
  <c r="BL11" i="5"/>
  <c r="CF11" i="5"/>
  <c r="CD11" i="5"/>
  <c r="BZ11" i="5"/>
  <c r="BK11" i="5"/>
  <c r="BJ11" i="5"/>
  <c r="BI11" i="5"/>
  <c r="CI11" i="5"/>
  <c r="BW11" i="5"/>
  <c r="CE11" i="5"/>
  <c r="AV11" i="5"/>
  <c r="BC11" i="5" s="1"/>
  <c r="AU11" i="5"/>
  <c r="BN11" i="5" s="1"/>
  <c r="CG11" i="5"/>
  <c r="BG11" i="5"/>
  <c r="BD11" i="5"/>
  <c r="BA11" i="5"/>
  <c r="BP11" i="5" s="1"/>
  <c r="AZ11" i="5"/>
  <c r="AY11" i="5"/>
  <c r="CA11" i="5"/>
  <c r="BM11" i="5"/>
  <c r="BE11" i="5"/>
  <c r="BH11" i="5"/>
  <c r="CC11" i="5"/>
  <c r="BF11" i="5"/>
  <c r="BL9" i="5"/>
  <c r="BB33" i="5"/>
  <c r="BZ33" i="5" s="1"/>
  <c r="BB18" i="5"/>
  <c r="BD26" i="5"/>
  <c r="AS36" i="5"/>
  <c r="AS37" i="5" s="1"/>
  <c r="BN16" i="5"/>
  <c r="CI20" i="5"/>
  <c r="CH20" i="5"/>
  <c r="BW20" i="5"/>
  <c r="BM20" i="5"/>
  <c r="BL20" i="5"/>
  <c r="BQ20" i="5"/>
  <c r="CG20" i="5"/>
  <c r="CE20" i="5"/>
  <c r="CC20" i="5"/>
  <c r="CA20" i="5"/>
  <c r="BX20" i="5"/>
  <c r="CK20" i="5"/>
  <c r="CJ20" i="5"/>
  <c r="AV20" i="5"/>
  <c r="BO20" i="5" s="1"/>
  <c r="AU20" i="5"/>
  <c r="BN20" i="5" s="1"/>
  <c r="BZ20" i="5"/>
  <c r="BJ20" i="5"/>
  <c r="BI20" i="5"/>
  <c r="BG20" i="5"/>
  <c r="BV20" i="5"/>
  <c r="BU20" i="5"/>
  <c r="BK20" i="5"/>
  <c r="BT20" i="5"/>
  <c r="CD20" i="5"/>
  <c r="BY20" i="5"/>
  <c r="BS20" i="5"/>
  <c r="BH20" i="5"/>
  <c r="BF20" i="5"/>
  <c r="BR20" i="5"/>
  <c r="AZ20" i="5"/>
  <c r="CF20" i="5"/>
  <c r="BE20" i="5"/>
  <c r="BD20" i="5"/>
  <c r="BA20" i="5"/>
  <c r="BP20" i="5" s="1"/>
  <c r="AY20" i="5"/>
  <c r="CJ31" i="5"/>
  <c r="BX31" i="5"/>
  <c r="CH31" i="5"/>
  <c r="CK31" i="5"/>
  <c r="CI31" i="5"/>
  <c r="CF31" i="5"/>
  <c r="CD31" i="5"/>
  <c r="BQ31" i="5"/>
  <c r="BM31" i="5"/>
  <c r="BZ31" i="5"/>
  <c r="BY31" i="5"/>
  <c r="BS31" i="5"/>
  <c r="CC31" i="5"/>
  <c r="BR31" i="5"/>
  <c r="CE31" i="5"/>
  <c r="BH31" i="5"/>
  <c r="BF31" i="5"/>
  <c r="CG31" i="5"/>
  <c r="BW31" i="5"/>
  <c r="BV31" i="5"/>
  <c r="AV31" i="5"/>
  <c r="BO31" i="5" s="1"/>
  <c r="AU31" i="5"/>
  <c r="BN31" i="5" s="1"/>
  <c r="BU31" i="5"/>
  <c r="BJ31" i="5"/>
  <c r="BK31" i="5"/>
  <c r="BI31" i="5"/>
  <c r="BT31" i="5"/>
  <c r="BA31" i="5"/>
  <c r="BP31" i="5" s="1"/>
  <c r="AY31" i="5"/>
  <c r="BG31" i="5"/>
  <c r="CA31" i="5"/>
  <c r="BD31" i="5"/>
  <c r="BL31" i="5"/>
  <c r="AZ31" i="5"/>
  <c r="BE31" i="5"/>
  <c r="BN2" i="5"/>
  <c r="AT36" i="5"/>
  <c r="AT37" i="5" s="1"/>
  <c r="BL22" i="5"/>
  <c r="CH27" i="5"/>
  <c r="CJ27" i="5"/>
  <c r="BQ27" i="5"/>
  <c r="CI27" i="5"/>
  <c r="BZ27" i="5"/>
  <c r="BY27" i="5"/>
  <c r="BK27" i="5"/>
  <c r="BJ27" i="5"/>
  <c r="CG27" i="5"/>
  <c r="CE27" i="5"/>
  <c r="CC27" i="5"/>
  <c r="CA27" i="5"/>
  <c r="BX27" i="5"/>
  <c r="BW27" i="5"/>
  <c r="CK27" i="5"/>
  <c r="BL27" i="5"/>
  <c r="CF27" i="5"/>
  <c r="BR27" i="5"/>
  <c r="BH27" i="5"/>
  <c r="BF27" i="5"/>
  <c r="AV27" i="5"/>
  <c r="BC27" i="5" s="1"/>
  <c r="AU27" i="5"/>
  <c r="BN27" i="5" s="1"/>
  <c r="BM27" i="5"/>
  <c r="BE27" i="5"/>
  <c r="BD27" i="5"/>
  <c r="BA27" i="5"/>
  <c r="BP27" i="5" s="1"/>
  <c r="AZ27" i="5"/>
  <c r="AY27" i="5"/>
  <c r="BV27" i="5"/>
  <c r="BU27" i="5"/>
  <c r="BI27" i="5"/>
  <c r="BG27" i="5"/>
  <c r="CD27" i="5"/>
  <c r="BT27" i="5"/>
  <c r="BS27" i="5"/>
  <c r="BL8" i="5"/>
  <c r="CH19" i="5"/>
  <c r="BW19" i="5"/>
  <c r="CG19" i="5"/>
  <c r="CE19" i="5"/>
  <c r="CC19" i="5"/>
  <c r="CA19" i="5"/>
  <c r="BX19" i="5"/>
  <c r="CK19" i="5"/>
  <c r="BK19" i="5"/>
  <c r="BJ19" i="5"/>
  <c r="BI19" i="5"/>
  <c r="CJ19" i="5"/>
  <c r="CF19" i="5"/>
  <c r="CD19" i="5"/>
  <c r="BZ19" i="5"/>
  <c r="BY19" i="5"/>
  <c r="BV19" i="5"/>
  <c r="BU19" i="5"/>
  <c r="BT19" i="5"/>
  <c r="BS19" i="5"/>
  <c r="BR19" i="5"/>
  <c r="BQ19" i="5"/>
  <c r="BL19" i="5"/>
  <c r="BG19" i="5"/>
  <c r="AV19" i="5"/>
  <c r="BO19" i="5" s="1"/>
  <c r="AU19" i="5"/>
  <c r="BN19" i="5" s="1"/>
  <c r="BE19" i="5"/>
  <c r="BE43" i="5" s="1"/>
  <c r="BE44" i="5" s="1"/>
  <c r="BD19" i="5"/>
  <c r="BA19" i="5"/>
  <c r="BP19" i="5" s="1"/>
  <c r="AZ19" i="5"/>
  <c r="AY19" i="5"/>
  <c r="CI19" i="5"/>
  <c r="BM19" i="5"/>
  <c r="BH19" i="5"/>
  <c r="BF19" i="5"/>
  <c r="CJ7" i="5"/>
  <c r="BX7" i="5"/>
  <c r="CH7" i="5"/>
  <c r="BY7" i="5"/>
  <c r="CI7" i="5"/>
  <c r="CF7" i="5"/>
  <c r="CD7" i="5"/>
  <c r="BZ7" i="5"/>
  <c r="BW7" i="5"/>
  <c r="BM7" i="5"/>
  <c r="BV7" i="5"/>
  <c r="BU7" i="5"/>
  <c r="BT7" i="5"/>
  <c r="BS7" i="5"/>
  <c r="BR7" i="5"/>
  <c r="CG7" i="5"/>
  <c r="CE7" i="5"/>
  <c r="CC7" i="5"/>
  <c r="CA7" i="5"/>
  <c r="BQ7" i="5"/>
  <c r="BG7" i="5"/>
  <c r="BE7" i="5"/>
  <c r="CK7" i="5"/>
  <c r="BJ7" i="5"/>
  <c r="BI7" i="5"/>
  <c r="AV7" i="5"/>
  <c r="AU7" i="5"/>
  <c r="BK7" i="5"/>
  <c r="BL7" i="5"/>
  <c r="BD7" i="5"/>
  <c r="BA7" i="5"/>
  <c r="AY7" i="5"/>
  <c r="BH7" i="5"/>
  <c r="BF7" i="5"/>
  <c r="AZ7" i="5"/>
  <c r="BP2" i="5"/>
  <c r="CK15" i="5"/>
  <c r="BV15" i="5"/>
  <c r="BU15" i="5"/>
  <c r="BT15" i="5"/>
  <c r="BS15" i="5"/>
  <c r="BR15" i="5"/>
  <c r="BM15" i="5"/>
  <c r="BY15" i="5"/>
  <c r="CI15" i="5"/>
  <c r="CF15" i="5"/>
  <c r="CD15" i="5"/>
  <c r="BQ15" i="5"/>
  <c r="BW15" i="5"/>
  <c r="CC15" i="5"/>
  <c r="BK15" i="5"/>
  <c r="BH15" i="5"/>
  <c r="BF15" i="5"/>
  <c r="CE15" i="5"/>
  <c r="CG15" i="5"/>
  <c r="BG15" i="5"/>
  <c r="AV15" i="5"/>
  <c r="BO15" i="5" s="1"/>
  <c r="AU15" i="5"/>
  <c r="BB15" i="5" s="1"/>
  <c r="BJ15" i="5"/>
  <c r="BI15" i="5"/>
  <c r="CA15" i="5"/>
  <c r="BE15" i="5"/>
  <c r="BD15" i="5"/>
  <c r="BA15" i="5"/>
  <c r="BP15" i="5" s="1"/>
  <c r="AY15" i="5"/>
  <c r="AZ15" i="5"/>
  <c r="C12" i="7"/>
  <c r="C13" i="7"/>
  <c r="C14" i="7"/>
  <c r="G63" i="15" l="1"/>
  <c r="I63" i="15" s="1"/>
  <c r="G63" i="14"/>
  <c r="I63" i="14" s="1"/>
  <c r="G63" i="16"/>
  <c r="I63" i="16" s="1"/>
  <c r="G63" i="12"/>
  <c r="I63" i="12" s="1"/>
  <c r="G63" i="13"/>
  <c r="I63" i="13" s="1"/>
  <c r="CI43" i="5"/>
  <c r="CI44" i="5" s="1"/>
  <c r="J11" i="16"/>
  <c r="BK43" i="5"/>
  <c r="BK44" i="5" s="1"/>
  <c r="BF43" i="5"/>
  <c r="BF44" i="5" s="1"/>
  <c r="BY43" i="5"/>
  <c r="BY44" i="5" s="1"/>
  <c r="BF45" i="5"/>
  <c r="BF46" i="5" s="1"/>
  <c r="BM45" i="5"/>
  <c r="BM46" i="5" s="1"/>
  <c r="G50" i="10" s="1"/>
  <c r="BK45" i="5"/>
  <c r="BK46" i="5" s="1"/>
  <c r="BN12" i="5"/>
  <c r="BZ12" i="5" s="1"/>
  <c r="BQ43" i="5"/>
  <c r="BQ44" i="5" s="1"/>
  <c r="AZ43" i="5"/>
  <c r="AZ44" i="5" s="1"/>
  <c r="G12" i="15" s="1"/>
  <c r="G40" i="15" s="1"/>
  <c r="BE45" i="5"/>
  <c r="BE46" i="5" s="1"/>
  <c r="BG43" i="5"/>
  <c r="BG44" i="5" s="1"/>
  <c r="BT43" i="5"/>
  <c r="BT44" i="5" s="1"/>
  <c r="CK45" i="5"/>
  <c r="CK46" i="5" s="1"/>
  <c r="M12" i="16" s="1"/>
  <c r="M40" i="16" s="1"/>
  <c r="BS45" i="5"/>
  <c r="BS46" i="5" s="1"/>
  <c r="CD45" i="5"/>
  <c r="CD46" i="5" s="1"/>
  <c r="CC45" i="5"/>
  <c r="CC46" i="5" s="1"/>
  <c r="AY45" i="5"/>
  <c r="AY46" i="5" s="1"/>
  <c r="G10" i="16" s="1"/>
  <c r="BS43" i="5"/>
  <c r="BS44" i="5" s="1"/>
  <c r="BU43" i="5"/>
  <c r="BU44" i="5" s="1"/>
  <c r="BW45" i="5"/>
  <c r="BW46" i="5" s="1"/>
  <c r="BY45" i="5"/>
  <c r="BY46" i="5" s="1"/>
  <c r="BI45" i="5"/>
  <c r="BI46" i="5" s="1"/>
  <c r="BR43" i="5"/>
  <c r="BR44" i="5" s="1"/>
  <c r="AA11" i="16"/>
  <c r="G39" i="16"/>
  <c r="J39" i="16" s="1"/>
  <c r="BH43" i="5"/>
  <c r="BH44" i="5" s="1"/>
  <c r="BJ43" i="5"/>
  <c r="BJ44" i="5" s="1"/>
  <c r="BU45" i="5"/>
  <c r="BU46" i="5" s="1"/>
  <c r="CA45" i="5"/>
  <c r="CA46" i="5" s="1"/>
  <c r="L12" i="16" s="1"/>
  <c r="BM43" i="5"/>
  <c r="BM44" i="5" s="1"/>
  <c r="G39" i="10" s="1"/>
  <c r="AB45" i="16"/>
  <c r="BV45" i="5"/>
  <c r="BV46" i="5" s="1"/>
  <c r="AY43" i="5"/>
  <c r="AY44" i="5" s="1"/>
  <c r="G10" i="15" s="1"/>
  <c r="AZ45" i="5"/>
  <c r="AZ46" i="5" s="1"/>
  <c r="G12" i="16" s="1"/>
  <c r="BH45" i="5"/>
  <c r="BH46" i="5" s="1"/>
  <c r="BQ45" i="5"/>
  <c r="BQ46" i="5" s="1"/>
  <c r="CC43" i="5"/>
  <c r="CC44" i="5" s="1"/>
  <c r="BW43" i="5"/>
  <c r="BW44" i="5" s="1"/>
  <c r="BC6" i="5"/>
  <c r="H38" i="10"/>
  <c r="BT45" i="5"/>
  <c r="BT46" i="5" s="1"/>
  <c r="BL45" i="5"/>
  <c r="BL46" i="5" s="1"/>
  <c r="I10" i="16" s="1"/>
  <c r="BZ45" i="5"/>
  <c r="BZ46" i="5" s="1"/>
  <c r="AY60" i="5"/>
  <c r="CI45" i="5"/>
  <c r="CI46" i="5" s="1"/>
  <c r="BD45" i="5"/>
  <c r="BD46" i="5" s="1"/>
  <c r="F12" i="15"/>
  <c r="F40" i="15" s="1"/>
  <c r="D39" i="10"/>
  <c r="AY56" i="5"/>
  <c r="AY57" i="5" s="1"/>
  <c r="BA45" i="5"/>
  <c r="BA46" i="5" s="1"/>
  <c r="AY58" i="5"/>
  <c r="AV45" i="5"/>
  <c r="AV46" i="5" s="1"/>
  <c r="F10" i="15"/>
  <c r="D37" i="10"/>
  <c r="E39" i="10"/>
  <c r="CD43" i="5"/>
  <c r="CD44" i="5" s="1"/>
  <c r="BR45" i="5"/>
  <c r="BR46" i="5" s="1"/>
  <c r="CE45" i="5"/>
  <c r="CE46" i="5" s="1"/>
  <c r="F12" i="16"/>
  <c r="F40" i="16" s="1"/>
  <c r="D50" i="10"/>
  <c r="CF45" i="5"/>
  <c r="CF46" i="5" s="1"/>
  <c r="CG45" i="5"/>
  <c r="CG46" i="5" s="1"/>
  <c r="AV56" i="5"/>
  <c r="AV57" i="5" s="1"/>
  <c r="AB11" i="15"/>
  <c r="AB45" i="15" s="1"/>
  <c r="G39" i="15"/>
  <c r="AA11" i="15"/>
  <c r="J11" i="15"/>
  <c r="CE43" i="5"/>
  <c r="CE44" i="5" s="1"/>
  <c r="BG45" i="5"/>
  <c r="BG46" i="5" s="1"/>
  <c r="BJ45" i="5"/>
  <c r="BJ46" i="5" s="1"/>
  <c r="AY54" i="5"/>
  <c r="AU45" i="5"/>
  <c r="AU46" i="5" s="1"/>
  <c r="AV54" i="5"/>
  <c r="AV55" i="5" s="1"/>
  <c r="AV60" i="5"/>
  <c r="AV58" i="5"/>
  <c r="D48" i="10"/>
  <c r="F10" i="16"/>
  <c r="F75" i="16"/>
  <c r="F80" i="16" s="1"/>
  <c r="BP45" i="5"/>
  <c r="BP46" i="5" s="1"/>
  <c r="BI43" i="5"/>
  <c r="BI44" i="5" s="1"/>
  <c r="CG43" i="5"/>
  <c r="CG44" i="5" s="1"/>
  <c r="CK43" i="5"/>
  <c r="CK44" i="5" s="1"/>
  <c r="AC10" i="14"/>
  <c r="BV43" i="5"/>
  <c r="BV44" i="5" s="1"/>
  <c r="BX8" i="5"/>
  <c r="BL43" i="5"/>
  <c r="BL44" i="5" s="1"/>
  <c r="BZ43" i="5"/>
  <c r="BZ44" i="5" s="1"/>
  <c r="J13" i="14"/>
  <c r="G15" i="14" s="1"/>
  <c r="J15" i="14" s="1"/>
  <c r="J16" i="14" s="1"/>
  <c r="CA43" i="5"/>
  <c r="CA44" i="5" s="1"/>
  <c r="F75" i="15"/>
  <c r="F80" i="15" s="1"/>
  <c r="CF43" i="5"/>
  <c r="CF44" i="5" s="1"/>
  <c r="L29" i="10"/>
  <c r="AU43" i="5"/>
  <c r="AU44" i="5" s="1"/>
  <c r="BA43" i="5"/>
  <c r="BA44" i="5" s="1"/>
  <c r="BD43" i="5"/>
  <c r="BD44" i="5" s="1"/>
  <c r="BP43" i="5"/>
  <c r="BP44" i="5" s="1"/>
  <c r="BN43" i="5"/>
  <c r="BN44" i="5" s="1"/>
  <c r="AV43" i="5"/>
  <c r="AV44" i="5" s="1"/>
  <c r="N40" i="14"/>
  <c r="L41" i="14"/>
  <c r="N41" i="14" s="1"/>
  <c r="G41" i="14"/>
  <c r="J38" i="14"/>
  <c r="AA38" i="14"/>
  <c r="H29" i="10"/>
  <c r="F31" i="10" s="1"/>
  <c r="F32" i="10" s="1"/>
  <c r="I41" i="14"/>
  <c r="AB38" i="14"/>
  <c r="AB44" i="14" s="1"/>
  <c r="J39" i="14"/>
  <c r="AA39" i="14"/>
  <c r="AV36" i="5"/>
  <c r="AV37" i="5" s="1"/>
  <c r="BN28" i="5"/>
  <c r="BN45" i="5" s="1"/>
  <c r="BN46" i="5" s="1"/>
  <c r="BI36" i="5"/>
  <c r="BI37" i="5" s="1"/>
  <c r="BA36" i="5"/>
  <c r="BA37" i="5" s="1"/>
  <c r="I4" i="10" s="1"/>
  <c r="BO4" i="5"/>
  <c r="BW36" i="5"/>
  <c r="BW37" i="5" s="1"/>
  <c r="BQ36" i="5"/>
  <c r="BQ37" i="5" s="1"/>
  <c r="BX6" i="5"/>
  <c r="BX12" i="5"/>
  <c r="CK36" i="5"/>
  <c r="CK37" i="5" s="1"/>
  <c r="K6" i="10" s="1"/>
  <c r="BY36" i="5"/>
  <c r="BY37" i="5" s="1"/>
  <c r="CD36" i="5"/>
  <c r="CD37" i="5" s="1"/>
  <c r="BO12" i="5"/>
  <c r="CB10" i="5"/>
  <c r="AU36" i="5"/>
  <c r="AU37" i="5" s="1"/>
  <c r="BV36" i="5"/>
  <c r="BV37" i="5" s="1"/>
  <c r="CF36" i="5"/>
  <c r="CF37" i="5" s="1"/>
  <c r="CB6" i="5"/>
  <c r="H16" i="10"/>
  <c r="CB14" i="5"/>
  <c r="BL6" i="5"/>
  <c r="CB13" i="5"/>
  <c r="CC36" i="5"/>
  <c r="CC37" i="5" s="1"/>
  <c r="BN6" i="5"/>
  <c r="BZ6" i="5" s="1"/>
  <c r="F12" i="13"/>
  <c r="F40" i="13" s="1"/>
  <c r="D17" i="10"/>
  <c r="F10" i="13"/>
  <c r="D15" i="10"/>
  <c r="AB11" i="13"/>
  <c r="AB45" i="13" s="1"/>
  <c r="G39" i="13"/>
  <c r="AA11" i="13"/>
  <c r="J11" i="13"/>
  <c r="CB18" i="5"/>
  <c r="F75" i="13"/>
  <c r="F80" i="13" s="1"/>
  <c r="CA36" i="5"/>
  <c r="CA37" i="5" s="1"/>
  <c r="J6" i="10" s="1"/>
  <c r="BF36" i="5"/>
  <c r="BF37" i="5" s="1"/>
  <c r="CB17" i="5"/>
  <c r="BT36" i="5"/>
  <c r="BT37" i="5" s="1"/>
  <c r="BH36" i="5"/>
  <c r="BH37" i="5" s="1"/>
  <c r="BK36" i="5"/>
  <c r="BK37" i="5" s="1"/>
  <c r="CG36" i="5"/>
  <c r="CG37" i="5" s="1"/>
  <c r="BX9" i="5"/>
  <c r="BR36" i="5"/>
  <c r="BR37" i="5" s="1"/>
  <c r="CB26" i="5"/>
  <c r="BM36" i="5"/>
  <c r="BM37" i="5" s="1"/>
  <c r="I12" i="12" s="1"/>
  <c r="I40" i="12" s="1"/>
  <c r="BB20" i="5"/>
  <c r="BE36" i="5"/>
  <c r="BE37" i="5" s="1"/>
  <c r="BX33" i="5"/>
  <c r="BX45" i="5" s="1"/>
  <c r="BX46" i="5" s="1"/>
  <c r="BO28" i="5"/>
  <c r="BG36" i="5"/>
  <c r="BG37" i="5" s="1"/>
  <c r="AY36" i="5"/>
  <c r="AY37" i="5" s="1"/>
  <c r="E4" i="10" s="1"/>
  <c r="AZ36" i="5"/>
  <c r="AZ37" i="5" s="1"/>
  <c r="E6" i="10" s="1"/>
  <c r="AZ38" i="5"/>
  <c r="AZ39" i="5" s="1"/>
  <c r="BK38" i="5"/>
  <c r="BK39" i="5" s="1"/>
  <c r="CC38" i="5"/>
  <c r="CC39" i="5" s="1"/>
  <c r="BJ36" i="5"/>
  <c r="BJ37" i="5" s="1"/>
  <c r="CB5" i="5"/>
  <c r="BS36" i="5"/>
  <c r="BS37" i="5" s="1"/>
  <c r="CI36" i="5"/>
  <c r="CI37" i="5" s="1"/>
  <c r="BL12" i="5"/>
  <c r="BN14" i="5"/>
  <c r="BS38" i="5"/>
  <c r="BS39" i="5" s="1"/>
  <c r="CB27" i="5"/>
  <c r="BG38" i="5"/>
  <c r="BG39" i="5" s="1"/>
  <c r="BT38" i="5"/>
  <c r="BT39" i="5" s="1"/>
  <c r="BQ38" i="5"/>
  <c r="BQ39" i="5" s="1"/>
  <c r="CB4" i="5"/>
  <c r="BM38" i="5"/>
  <c r="BM39" i="5" s="1"/>
  <c r="BN4" i="5"/>
  <c r="BO11" i="5"/>
  <c r="CA38" i="5"/>
  <c r="CA39" i="5" s="1"/>
  <c r="CB20" i="5"/>
  <c r="BV38" i="5"/>
  <c r="BV39" i="5" s="1"/>
  <c r="BF38" i="5"/>
  <c r="BF39" i="5" s="1"/>
  <c r="BO7" i="5"/>
  <c r="AV38" i="5"/>
  <c r="AV39" i="5" s="1"/>
  <c r="BI38" i="5"/>
  <c r="BI39" i="5" s="1"/>
  <c r="BW38" i="5"/>
  <c r="BW39" i="5" s="1"/>
  <c r="BC20" i="5"/>
  <c r="BX22" i="5"/>
  <c r="BX43" i="5" s="1"/>
  <c r="BX44" i="5" s="1"/>
  <c r="AY38" i="5"/>
  <c r="AY39" i="5" s="1"/>
  <c r="BJ38" i="5"/>
  <c r="BJ39" i="5" s="1"/>
  <c r="CG38" i="5"/>
  <c r="CG39" i="5" s="1"/>
  <c r="BC19" i="5"/>
  <c r="BC31" i="5"/>
  <c r="BC45" i="5" s="1"/>
  <c r="BC46" i="5" s="1"/>
  <c r="CB31" i="5"/>
  <c r="CB28" i="5"/>
  <c r="H5" i="10"/>
  <c r="BH38" i="5"/>
  <c r="BH39" i="5" s="1"/>
  <c r="CE38" i="5"/>
  <c r="CE39" i="5" s="1"/>
  <c r="CB15" i="5"/>
  <c r="BP7" i="5"/>
  <c r="BA38" i="5"/>
  <c r="BA39" i="5" s="1"/>
  <c r="CK38" i="5"/>
  <c r="CK39" i="5" s="1"/>
  <c r="BR38" i="5"/>
  <c r="BR39" i="5" s="1"/>
  <c r="CD38" i="5"/>
  <c r="CD39" i="5" s="1"/>
  <c r="CE36" i="5"/>
  <c r="CE37" i="5" s="1"/>
  <c r="AA11" i="12"/>
  <c r="J11" i="12"/>
  <c r="G39" i="12"/>
  <c r="AB11" i="12"/>
  <c r="AB45" i="12" s="1"/>
  <c r="BB7" i="5"/>
  <c r="AU38" i="5"/>
  <c r="AU39" i="5" s="1"/>
  <c r="BD38" i="5"/>
  <c r="BD39" i="5" s="1"/>
  <c r="BE38" i="5"/>
  <c r="BE39" i="5" s="1"/>
  <c r="CF38" i="5"/>
  <c r="CF39" i="5" s="1"/>
  <c r="BO27" i="5"/>
  <c r="BU36" i="5"/>
  <c r="BU37" i="5" s="1"/>
  <c r="CI38" i="5"/>
  <c r="CI39" i="5" s="1"/>
  <c r="F12" i="12"/>
  <c r="F40" i="12" s="1"/>
  <c r="D6" i="10"/>
  <c r="BP3" i="5"/>
  <c r="BP36" i="5" s="1"/>
  <c r="BP37" i="5" s="1"/>
  <c r="BO23" i="5"/>
  <c r="BO43" i="5" s="1"/>
  <c r="BO44" i="5" s="1"/>
  <c r="BU38" i="5"/>
  <c r="BU39" i="5" s="1"/>
  <c r="BY38" i="5"/>
  <c r="BY39" i="5" s="1"/>
  <c r="F10" i="12"/>
  <c r="D4" i="10"/>
  <c r="F75" i="12"/>
  <c r="F80" i="12" s="1"/>
  <c r="BD36" i="5"/>
  <c r="BD37" i="5" s="1"/>
  <c r="BN7" i="5"/>
  <c r="BB19" i="5"/>
  <c r="BB31" i="5"/>
  <c r="BL10" i="5"/>
  <c r="CB12" i="5"/>
  <c r="CB11" i="5"/>
  <c r="CB23" i="5"/>
  <c r="BC7" i="5"/>
  <c r="BB27" i="5"/>
  <c r="BZ2" i="5"/>
  <c r="BB3" i="5"/>
  <c r="BB36" i="5" s="1"/>
  <c r="BB37" i="5" s="1"/>
  <c r="BO3" i="5"/>
  <c r="BN15" i="5"/>
  <c r="BZ15" i="5" s="1"/>
  <c r="CB19" i="5"/>
  <c r="BB11" i="5"/>
  <c r="BC3" i="5"/>
  <c r="BC15" i="5"/>
  <c r="CB2" i="5"/>
  <c r="BX2" i="5"/>
  <c r="BN3" i="5"/>
  <c r="BB23" i="5"/>
  <c r="CB30" i="5"/>
  <c r="BL15" i="5"/>
  <c r="BX15" i="5"/>
  <c r="BL3" i="5"/>
  <c r="D14" i="7"/>
  <c r="AA39" i="16" l="1"/>
  <c r="AC39" i="16" s="1"/>
  <c r="I12" i="16"/>
  <c r="I40" i="16" s="1"/>
  <c r="E37" i="10"/>
  <c r="BO36" i="5"/>
  <c r="BO37" i="5" s="1"/>
  <c r="BZ38" i="5"/>
  <c r="BZ39" i="5" s="1"/>
  <c r="BC36" i="5"/>
  <c r="BC37" i="5" s="1"/>
  <c r="H12" i="12" s="1"/>
  <c r="H40" i="12" s="1"/>
  <c r="D51" i="10"/>
  <c r="D54" i="10" s="1"/>
  <c r="E48" i="10"/>
  <c r="K50" i="10"/>
  <c r="J50" i="10"/>
  <c r="G48" i="10"/>
  <c r="G51" i="10" s="1"/>
  <c r="BO45" i="5"/>
  <c r="BO46" i="5" s="1"/>
  <c r="E50" i="10"/>
  <c r="M12" i="12"/>
  <c r="M40" i="12" s="1"/>
  <c r="I12" i="15"/>
  <c r="I40" i="15" s="1"/>
  <c r="BL36" i="5"/>
  <c r="BL37" i="5" s="1"/>
  <c r="G4" i="10" s="1"/>
  <c r="G6" i="10"/>
  <c r="D40" i="10"/>
  <c r="D43" i="10" s="1"/>
  <c r="BB45" i="5"/>
  <c r="BB46" i="5" s="1"/>
  <c r="H10" i="16" s="1"/>
  <c r="J10" i="16" s="1"/>
  <c r="G16" i="14"/>
  <c r="K10" i="12"/>
  <c r="E40" i="10"/>
  <c r="AV59" i="5"/>
  <c r="AZ60" i="5"/>
  <c r="AZ56" i="5"/>
  <c r="AZ57" i="5" s="1"/>
  <c r="AA39" i="15"/>
  <c r="J39" i="15"/>
  <c r="L40" i="16"/>
  <c r="N40" i="16" s="1"/>
  <c r="N12" i="16"/>
  <c r="K10" i="15"/>
  <c r="I37" i="10"/>
  <c r="F38" i="15"/>
  <c r="F41" i="15" s="1"/>
  <c r="F13" i="15"/>
  <c r="F16" i="15" s="1"/>
  <c r="H12" i="16"/>
  <c r="H40" i="16" s="1"/>
  <c r="F50" i="10"/>
  <c r="AY61" i="5"/>
  <c r="AW60" i="5"/>
  <c r="AW58" i="5"/>
  <c r="AW56" i="5"/>
  <c r="AW57" i="5" s="1"/>
  <c r="I38" i="16"/>
  <c r="AV61" i="5"/>
  <c r="AW54" i="5"/>
  <c r="L10" i="16"/>
  <c r="L38" i="16" s="1"/>
  <c r="J48" i="10"/>
  <c r="AZ54" i="5"/>
  <c r="AA45" i="16"/>
  <c r="AC45" i="16" s="1"/>
  <c r="AX54" i="5"/>
  <c r="AX58" i="5"/>
  <c r="J12" i="11" s="1"/>
  <c r="AY59" i="5"/>
  <c r="I48" i="10"/>
  <c r="K10" i="16"/>
  <c r="F38" i="16"/>
  <c r="F41" i="16" s="1"/>
  <c r="F13" i="16"/>
  <c r="F16" i="16" s="1"/>
  <c r="AX56" i="5"/>
  <c r="G40" i="16"/>
  <c r="AZ58" i="5"/>
  <c r="AX60" i="5"/>
  <c r="J14" i="11" s="1"/>
  <c r="AY55" i="5"/>
  <c r="G38" i="15"/>
  <c r="AA10" i="15"/>
  <c r="G13" i="15"/>
  <c r="AA10" i="16"/>
  <c r="G38" i="16"/>
  <c r="G13" i="16"/>
  <c r="L10" i="15"/>
  <c r="J37" i="10"/>
  <c r="I10" i="15"/>
  <c r="G37" i="10"/>
  <c r="G40" i="10" s="1"/>
  <c r="BB43" i="5"/>
  <c r="BB44" i="5" s="1"/>
  <c r="CB45" i="5"/>
  <c r="CB46" i="5" s="1"/>
  <c r="M12" i="15"/>
  <c r="M40" i="15" s="1"/>
  <c r="K39" i="10"/>
  <c r="L12" i="15"/>
  <c r="J39" i="10"/>
  <c r="L12" i="12"/>
  <c r="I15" i="14"/>
  <c r="I16" i="14" s="1"/>
  <c r="BC43" i="5"/>
  <c r="BC44" i="5" s="1"/>
  <c r="H15" i="14"/>
  <c r="H16" i="14" s="1"/>
  <c r="J41" i="14"/>
  <c r="I51" i="14" s="1"/>
  <c r="CB43" i="5"/>
  <c r="CB44" i="5" s="1"/>
  <c r="L16" i="14"/>
  <c r="J32" i="10"/>
  <c r="AA44" i="14"/>
  <c r="AC44" i="14" s="1"/>
  <c r="AC38" i="14"/>
  <c r="AC39" i="14"/>
  <c r="AA45" i="14"/>
  <c r="AC45" i="14" s="1"/>
  <c r="E31" i="10"/>
  <c r="BX38" i="5"/>
  <c r="BX39" i="5" s="1"/>
  <c r="E17" i="10"/>
  <c r="G12" i="13"/>
  <c r="J15" i="10"/>
  <c r="L10" i="13"/>
  <c r="M12" i="13"/>
  <c r="M40" i="13" s="1"/>
  <c r="K17" i="10"/>
  <c r="I12" i="13"/>
  <c r="I40" i="13" s="1"/>
  <c r="G17" i="10"/>
  <c r="I15" i="10"/>
  <c r="K10" i="13"/>
  <c r="F38" i="13"/>
  <c r="F41" i="13" s="1"/>
  <c r="F13" i="13"/>
  <c r="F16" i="13" s="1"/>
  <c r="D18" i="10"/>
  <c r="D21" i="10" s="1"/>
  <c r="G10" i="13"/>
  <c r="E15" i="10"/>
  <c r="J17" i="10"/>
  <c r="L12" i="13"/>
  <c r="AA39" i="13"/>
  <c r="J39" i="13"/>
  <c r="BL38" i="5"/>
  <c r="BL39" i="5" s="1"/>
  <c r="G10" i="12"/>
  <c r="G38" i="12" s="1"/>
  <c r="L6" i="10"/>
  <c r="BO38" i="5"/>
  <c r="BO39" i="5" s="1"/>
  <c r="G12" i="12"/>
  <c r="G40" i="12" s="1"/>
  <c r="D7" i="10"/>
  <c r="D10" i="10" s="1"/>
  <c r="BX3" i="5"/>
  <c r="BX36" i="5" s="1"/>
  <c r="BX37" i="5" s="1"/>
  <c r="CB3" i="5"/>
  <c r="CB36" i="5" s="1"/>
  <c r="CB37" i="5" s="1"/>
  <c r="F13" i="12"/>
  <c r="F16" i="12" s="1"/>
  <c r="F38" i="12"/>
  <c r="F41" i="12" s="1"/>
  <c r="BB38" i="5"/>
  <c r="BB39" i="5" s="1"/>
  <c r="BN38" i="5"/>
  <c r="BN39" i="5" s="1"/>
  <c r="J39" i="12"/>
  <c r="AA39" i="12"/>
  <c r="CB7" i="5"/>
  <c r="CB38" i="5" s="1"/>
  <c r="CB39" i="5" s="1"/>
  <c r="BP38" i="5"/>
  <c r="BP39" i="5" s="1"/>
  <c r="F4" i="10"/>
  <c r="H10" i="12"/>
  <c r="BC38" i="5"/>
  <c r="BC39" i="5" s="1"/>
  <c r="E7" i="10"/>
  <c r="BZ3" i="5"/>
  <c r="BZ36" i="5" s="1"/>
  <c r="BZ37" i="5" s="1"/>
  <c r="BN36" i="5"/>
  <c r="BN37" i="5" s="1"/>
  <c r="AB10" i="9"/>
  <c r="AX57" i="5" l="1"/>
  <c r="J11" i="11" s="1"/>
  <c r="J10" i="11"/>
  <c r="AX55" i="5"/>
  <c r="J8" i="11"/>
  <c r="F6" i="10"/>
  <c r="E51" i="10"/>
  <c r="I10" i="12"/>
  <c r="J10" i="12" s="1"/>
  <c r="I13" i="16"/>
  <c r="G7" i="10"/>
  <c r="L50" i="10"/>
  <c r="H50" i="10"/>
  <c r="F48" i="10"/>
  <c r="H48" i="10" s="1"/>
  <c r="N12" i="12"/>
  <c r="G51" i="14"/>
  <c r="G52" i="14" s="1"/>
  <c r="G56" i="14" s="1"/>
  <c r="G60" i="14" s="1"/>
  <c r="H51" i="14"/>
  <c r="H43" i="14" s="1"/>
  <c r="AZ61" i="5"/>
  <c r="J40" i="16"/>
  <c r="J12" i="16"/>
  <c r="L40" i="12"/>
  <c r="N40" i="12" s="1"/>
  <c r="H13" i="16"/>
  <c r="H38" i="16"/>
  <c r="H41" i="16" s="1"/>
  <c r="BA60" i="5"/>
  <c r="M14" i="11" s="1"/>
  <c r="J51" i="10"/>
  <c r="AX59" i="5"/>
  <c r="J13" i="11" s="1"/>
  <c r="L41" i="16"/>
  <c r="AW59" i="5"/>
  <c r="BA54" i="5"/>
  <c r="M8" i="11" s="1"/>
  <c r="L13" i="16"/>
  <c r="AA38" i="15"/>
  <c r="AA44" i="15" s="1"/>
  <c r="G41" i="15"/>
  <c r="AW61" i="5"/>
  <c r="AZ55" i="5"/>
  <c r="BA58" i="5"/>
  <c r="M12" i="11" s="1"/>
  <c r="F43" i="15"/>
  <c r="F44" i="15"/>
  <c r="F45" i="15"/>
  <c r="AX61" i="5"/>
  <c r="J15" i="11" s="1"/>
  <c r="F43" i="16"/>
  <c r="F44" i="16"/>
  <c r="F45" i="16"/>
  <c r="BA56" i="5"/>
  <c r="AW55" i="5"/>
  <c r="AC39" i="15"/>
  <c r="AA45" i="15"/>
  <c r="AC45" i="15" s="1"/>
  <c r="G41" i="16"/>
  <c r="AA38" i="16"/>
  <c r="AZ59" i="5"/>
  <c r="I41" i="16"/>
  <c r="L39" i="10"/>
  <c r="L40" i="15"/>
  <c r="N40" i="15" s="1"/>
  <c r="N12" i="15"/>
  <c r="F39" i="10"/>
  <c r="H12" i="15"/>
  <c r="I13" i="15"/>
  <c r="I38" i="15"/>
  <c r="J40" i="10"/>
  <c r="H10" i="15"/>
  <c r="F37" i="10"/>
  <c r="H37" i="10" s="1"/>
  <c r="L13" i="15"/>
  <c r="L38" i="15"/>
  <c r="G31" i="10"/>
  <c r="G32" i="10" s="1"/>
  <c r="H31" i="10"/>
  <c r="H32" i="10" s="1"/>
  <c r="E32" i="10"/>
  <c r="I43" i="14"/>
  <c r="I52" i="14"/>
  <c r="I56" i="14" s="1"/>
  <c r="I60" i="14" s="1"/>
  <c r="AA10" i="12"/>
  <c r="G15" i="10"/>
  <c r="G18" i="10" s="1"/>
  <c r="I10" i="13"/>
  <c r="E18" i="10"/>
  <c r="F15" i="10"/>
  <c r="H10" i="13"/>
  <c r="G13" i="13"/>
  <c r="G38" i="13"/>
  <c r="AA10" i="13"/>
  <c r="L13" i="13"/>
  <c r="L38" i="13"/>
  <c r="F43" i="13"/>
  <c r="F44" i="13"/>
  <c r="F45" i="13"/>
  <c r="J18" i="10"/>
  <c r="H4" i="10"/>
  <c r="AA45" i="13"/>
  <c r="AC45" i="13" s="1"/>
  <c r="AC39" i="13"/>
  <c r="G40" i="13"/>
  <c r="N12" i="13"/>
  <c r="L40" i="13"/>
  <c r="N40" i="13" s="1"/>
  <c r="F17" i="10"/>
  <c r="H12" i="13"/>
  <c r="H40" i="13" s="1"/>
  <c r="L17" i="10"/>
  <c r="G13" i="12"/>
  <c r="F7" i="10"/>
  <c r="H7" i="10" s="1"/>
  <c r="J12" i="12"/>
  <c r="H6" i="10"/>
  <c r="F43" i="12"/>
  <c r="F44" i="12"/>
  <c r="F45" i="12"/>
  <c r="AC39" i="12"/>
  <c r="AA45" i="12"/>
  <c r="AC45" i="12" s="1"/>
  <c r="H13" i="12"/>
  <c r="H38" i="12"/>
  <c r="I13" i="12"/>
  <c r="I38" i="12"/>
  <c r="L10" i="12"/>
  <c r="J4" i="10"/>
  <c r="J40" i="12"/>
  <c r="AA38" i="12"/>
  <c r="G41" i="12"/>
  <c r="AA11" i="9"/>
  <c r="AC11" i="9"/>
  <c r="AA10" i="9"/>
  <c r="BA57" i="5" l="1"/>
  <c r="M11" i="11" s="1"/>
  <c r="M10" i="11"/>
  <c r="H52" i="14"/>
  <c r="H56" i="14" s="1"/>
  <c r="H60" i="14" s="1"/>
  <c r="J13" i="16"/>
  <c r="G15" i="16" s="1"/>
  <c r="I15" i="16" s="1"/>
  <c r="I16" i="16" s="1"/>
  <c r="AX63" i="5"/>
  <c r="J9" i="11"/>
  <c r="F51" i="10"/>
  <c r="G43" i="14"/>
  <c r="J43" i="14" s="1"/>
  <c r="J51" i="14"/>
  <c r="J52" i="14" s="1"/>
  <c r="J56" i="14" s="1"/>
  <c r="J60" i="14" s="1"/>
  <c r="K44" i="14" s="1"/>
  <c r="J38" i="16"/>
  <c r="J41" i="16" s="1"/>
  <c r="I51" i="16" s="1"/>
  <c r="BA55" i="5"/>
  <c r="H51" i="10"/>
  <c r="E53" i="10" s="1"/>
  <c r="BA59" i="5"/>
  <c r="M13" i="11" s="1"/>
  <c r="G16" i="16"/>
  <c r="BA61" i="5"/>
  <c r="M15" i="11" s="1"/>
  <c r="AA44" i="16"/>
  <c r="H51" i="16"/>
  <c r="H15" i="16"/>
  <c r="H16" i="16" s="1"/>
  <c r="H40" i="15"/>
  <c r="J40" i="15" s="1"/>
  <c r="J12" i="15"/>
  <c r="H38" i="15"/>
  <c r="H13" i="15"/>
  <c r="J13" i="15" s="1"/>
  <c r="J10" i="15"/>
  <c r="F40" i="10"/>
  <c r="H39" i="10"/>
  <c r="L41" i="15"/>
  <c r="I41" i="15"/>
  <c r="H15" i="10"/>
  <c r="G67" i="14"/>
  <c r="G44" i="14"/>
  <c r="J44" i="14" s="1"/>
  <c r="K43" i="14"/>
  <c r="I44" i="14"/>
  <c r="I67" i="14"/>
  <c r="H44" i="14"/>
  <c r="H67" i="14"/>
  <c r="F18" i="10"/>
  <c r="H18" i="10" s="1"/>
  <c r="F20" i="10" s="1"/>
  <c r="F21" i="10" s="1"/>
  <c r="J40" i="13"/>
  <c r="J12" i="13"/>
  <c r="G41" i="13"/>
  <c r="AA38" i="13"/>
  <c r="H13" i="13"/>
  <c r="H38" i="13"/>
  <c r="H41" i="13" s="1"/>
  <c r="L41" i="13"/>
  <c r="H17" i="10"/>
  <c r="J10" i="13"/>
  <c r="I13" i="13"/>
  <c r="I38" i="13"/>
  <c r="E9" i="10"/>
  <c r="E10" i="10" s="1"/>
  <c r="F9" i="10"/>
  <c r="F10" i="10" s="1"/>
  <c r="J7" i="10"/>
  <c r="L13" i="12"/>
  <c r="L38" i="12"/>
  <c r="I41" i="12"/>
  <c r="J38" i="12"/>
  <c r="J41" i="12" s="1"/>
  <c r="H41" i="12"/>
  <c r="J13" i="12"/>
  <c r="G15" i="12" s="1"/>
  <c r="AA44" i="12"/>
  <c r="AC10" i="9"/>
  <c r="BA63" i="5" l="1"/>
  <c r="M9" i="11"/>
  <c r="J67" i="14"/>
  <c r="J17" i="11"/>
  <c r="AX73" i="5"/>
  <c r="J27" i="11" s="1"/>
  <c r="I52" i="16"/>
  <c r="I56" i="16" s="1"/>
  <c r="I60" i="16" s="1"/>
  <c r="I44" i="16" s="1"/>
  <c r="I43" i="16"/>
  <c r="G51" i="16"/>
  <c r="H52" i="16"/>
  <c r="H56" i="16" s="1"/>
  <c r="H60" i="16" s="1"/>
  <c r="H43" i="16"/>
  <c r="E54" i="10"/>
  <c r="G53" i="10"/>
  <c r="G54" i="10" s="1"/>
  <c r="F53" i="10"/>
  <c r="F54" i="10" s="1"/>
  <c r="J15" i="16"/>
  <c r="J16" i="16" s="1"/>
  <c r="H40" i="10"/>
  <c r="E42" i="10" s="1"/>
  <c r="H15" i="15"/>
  <c r="H16" i="15" s="1"/>
  <c r="G15" i="15"/>
  <c r="H41" i="15"/>
  <c r="J38" i="15"/>
  <c r="J41" i="15" s="1"/>
  <c r="G51" i="15" s="1"/>
  <c r="J13" i="13"/>
  <c r="H15" i="13" s="1"/>
  <c r="H16" i="13" s="1"/>
  <c r="I45" i="14"/>
  <c r="I75" i="14"/>
  <c r="I80" i="14" s="1"/>
  <c r="G45" i="14"/>
  <c r="G75" i="14"/>
  <c r="G80" i="14" s="1"/>
  <c r="H75" i="14"/>
  <c r="H80" i="14" s="1"/>
  <c r="H45" i="14"/>
  <c r="O72" i="14"/>
  <c r="M72" i="14"/>
  <c r="K45" i="14"/>
  <c r="I69" i="14"/>
  <c r="J69" i="14" s="1"/>
  <c r="G72" i="14"/>
  <c r="H68" i="14"/>
  <c r="J68" i="14" s="1"/>
  <c r="G73" i="14"/>
  <c r="E20" i="10"/>
  <c r="G20" i="10" s="1"/>
  <c r="H20" i="10" s="1"/>
  <c r="H21" i="10" s="1"/>
  <c r="I41" i="13"/>
  <c r="AA44" i="13"/>
  <c r="J38" i="13"/>
  <c r="J41" i="13" s="1"/>
  <c r="H51" i="13" s="1"/>
  <c r="H15" i="12"/>
  <c r="H16" i="12" s="1"/>
  <c r="G9" i="10"/>
  <c r="G10" i="10" s="1"/>
  <c r="H51" i="12"/>
  <c r="H43" i="12" s="1"/>
  <c r="I51" i="12"/>
  <c r="I43" i="12" s="1"/>
  <c r="G16" i="12"/>
  <c r="I15" i="12"/>
  <c r="I16" i="12" s="1"/>
  <c r="G51" i="12"/>
  <c r="L41" i="12"/>
  <c r="E73" i="9"/>
  <c r="E72" i="9"/>
  <c r="M17" i="11" l="1"/>
  <c r="BA73" i="5"/>
  <c r="M27" i="11" s="1"/>
  <c r="G15" i="13"/>
  <c r="G16" i="13" s="1"/>
  <c r="I67" i="16"/>
  <c r="I45" i="16" s="1"/>
  <c r="G52" i="16"/>
  <c r="G56" i="16" s="1"/>
  <c r="G60" i="16" s="1"/>
  <c r="G43" i="16"/>
  <c r="J51" i="16"/>
  <c r="J52" i="16" s="1"/>
  <c r="J56" i="16" s="1"/>
  <c r="J60" i="16" s="1"/>
  <c r="J67" i="16" s="1"/>
  <c r="G72" i="16" s="1"/>
  <c r="J43" i="16"/>
  <c r="F42" i="10"/>
  <c r="F43" i="10" s="1"/>
  <c r="H44" i="16"/>
  <c r="H67" i="16"/>
  <c r="L16" i="16"/>
  <c r="J54" i="10"/>
  <c r="H53" i="10"/>
  <c r="H54" i="10" s="1"/>
  <c r="G43" i="15"/>
  <c r="G52" i="15"/>
  <c r="G56" i="15" s="1"/>
  <c r="G60" i="15" s="1"/>
  <c r="H51" i="15"/>
  <c r="I51" i="15"/>
  <c r="G16" i="15"/>
  <c r="I15" i="15"/>
  <c r="I16" i="15" s="1"/>
  <c r="J45" i="14"/>
  <c r="K46" i="14" s="1"/>
  <c r="G42" i="10"/>
  <c r="G43" i="10" s="1"/>
  <c r="E43" i="10"/>
  <c r="J73" i="14"/>
  <c r="I73" i="14"/>
  <c r="E21" i="10"/>
  <c r="H52" i="12"/>
  <c r="H56" i="12" s="1"/>
  <c r="H60" i="12" s="1"/>
  <c r="H67" i="12" s="1"/>
  <c r="G51" i="13"/>
  <c r="G43" i="13" s="1"/>
  <c r="G21" i="10"/>
  <c r="H43" i="13"/>
  <c r="H52" i="13"/>
  <c r="H56" i="13" s="1"/>
  <c r="H60" i="13" s="1"/>
  <c r="I51" i="13"/>
  <c r="I15" i="13"/>
  <c r="I16" i="13" s="1"/>
  <c r="I52" i="12"/>
  <c r="I56" i="12" s="1"/>
  <c r="I60" i="12" s="1"/>
  <c r="I67" i="12" s="1"/>
  <c r="I45" i="12" s="1"/>
  <c r="H9" i="10"/>
  <c r="H10" i="10" s="1"/>
  <c r="J15" i="12"/>
  <c r="J16" i="12" s="1"/>
  <c r="L16" i="12" s="1"/>
  <c r="J51" i="12"/>
  <c r="J52" i="12" s="1"/>
  <c r="J56" i="12" s="1"/>
  <c r="J60" i="12" s="1"/>
  <c r="J67" i="12" s="1"/>
  <c r="G52" i="12"/>
  <c r="G56" i="12" s="1"/>
  <c r="G60" i="12" s="1"/>
  <c r="G43" i="12"/>
  <c r="J43" i="12" s="1"/>
  <c r="J79" i="9"/>
  <c r="J78" i="9"/>
  <c r="J77" i="9"/>
  <c r="O72" i="16" l="1"/>
  <c r="K43" i="16"/>
  <c r="G73" i="16"/>
  <c r="I73" i="16" s="1"/>
  <c r="J73" i="16" s="1"/>
  <c r="M72" i="16"/>
  <c r="H68" i="16"/>
  <c r="J68" i="16" s="1"/>
  <c r="J10" i="10"/>
  <c r="G67" i="16"/>
  <c r="G45" i="16" s="1"/>
  <c r="G44" i="16"/>
  <c r="J44" i="16" s="1"/>
  <c r="K44" i="16" s="1"/>
  <c r="H42" i="10"/>
  <c r="H43" i="10" s="1"/>
  <c r="J15" i="15"/>
  <c r="J16" i="15" s="1"/>
  <c r="L16" i="15" s="1"/>
  <c r="H45" i="16"/>
  <c r="I52" i="15"/>
  <c r="I56" i="15" s="1"/>
  <c r="I60" i="15" s="1"/>
  <c r="I43" i="15"/>
  <c r="H52" i="15"/>
  <c r="H56" i="15" s="1"/>
  <c r="H60" i="15" s="1"/>
  <c r="H43" i="15"/>
  <c r="G44" i="15"/>
  <c r="G67" i="15"/>
  <c r="J51" i="15"/>
  <c r="J52" i="15" s="1"/>
  <c r="J56" i="15" s="1"/>
  <c r="J60" i="15" s="1"/>
  <c r="J67" i="15" s="1"/>
  <c r="H44" i="12"/>
  <c r="G52" i="13"/>
  <c r="G56" i="13" s="1"/>
  <c r="G60" i="13" s="1"/>
  <c r="G44" i="13" s="1"/>
  <c r="J51" i="13"/>
  <c r="J52" i="13" s="1"/>
  <c r="J56" i="13" s="1"/>
  <c r="J60" i="13" s="1"/>
  <c r="J67" i="13" s="1"/>
  <c r="G72" i="13" s="1"/>
  <c r="J15" i="13"/>
  <c r="J16" i="13" s="1"/>
  <c r="L16" i="13" s="1"/>
  <c r="I52" i="13"/>
  <c r="I56" i="13" s="1"/>
  <c r="I60" i="13" s="1"/>
  <c r="I43" i="13"/>
  <c r="J43" i="13" s="1"/>
  <c r="H67" i="13"/>
  <c r="H44" i="13"/>
  <c r="I44" i="12"/>
  <c r="K43" i="12"/>
  <c r="G72" i="12"/>
  <c r="O72" i="12"/>
  <c r="G73" i="12"/>
  <c r="I73" i="12" s="1"/>
  <c r="J73" i="12" s="1"/>
  <c r="H68" i="12"/>
  <c r="J68" i="12" s="1"/>
  <c r="M72" i="12"/>
  <c r="H45" i="12"/>
  <c r="G67" i="12"/>
  <c r="G44" i="12"/>
  <c r="H63" i="9"/>
  <c r="H75" i="16" l="1"/>
  <c r="H80" i="16" s="1"/>
  <c r="G75" i="16"/>
  <c r="G80" i="16" s="1"/>
  <c r="J43" i="15"/>
  <c r="K43" i="15" s="1"/>
  <c r="J45" i="16"/>
  <c r="K46" i="16" s="1"/>
  <c r="G67" i="13"/>
  <c r="J43" i="10"/>
  <c r="J21" i="10"/>
  <c r="J44" i="12"/>
  <c r="K44" i="12" s="1"/>
  <c r="G45" i="15"/>
  <c r="H44" i="15"/>
  <c r="H67" i="15"/>
  <c r="I44" i="15"/>
  <c r="I67" i="15"/>
  <c r="I45" i="15" s="1"/>
  <c r="M72" i="15"/>
  <c r="G72" i="15"/>
  <c r="H68" i="15"/>
  <c r="J68" i="15" s="1"/>
  <c r="G73" i="15"/>
  <c r="I73" i="15" s="1"/>
  <c r="J73" i="15" s="1"/>
  <c r="O72" i="15"/>
  <c r="M72" i="13"/>
  <c r="O72" i="13"/>
  <c r="G73" i="13"/>
  <c r="I73" i="13" s="1"/>
  <c r="J73" i="13" s="1"/>
  <c r="H68" i="13"/>
  <c r="J68" i="13" s="1"/>
  <c r="K43" i="13"/>
  <c r="H45" i="13"/>
  <c r="I67" i="13"/>
  <c r="I44" i="13"/>
  <c r="J44" i="13" s="1"/>
  <c r="K44" i="13" s="1"/>
  <c r="G45" i="13"/>
  <c r="G45" i="12"/>
  <c r="J45" i="12" s="1"/>
  <c r="G75" i="12"/>
  <c r="G80" i="12" s="1"/>
  <c r="H75" i="12"/>
  <c r="H80" i="12" s="1"/>
  <c r="K8" i="9"/>
  <c r="G75" i="15" l="1"/>
  <c r="G80" i="15" s="1"/>
  <c r="K45" i="16"/>
  <c r="H75" i="13"/>
  <c r="H80" i="13" s="1"/>
  <c r="J44" i="15"/>
  <c r="K44" i="15" s="1"/>
  <c r="H45" i="15"/>
  <c r="J45" i="15" s="1"/>
  <c r="H75" i="15"/>
  <c r="H80" i="15" s="1"/>
  <c r="G75" i="13"/>
  <c r="G80" i="13" s="1"/>
  <c r="I45" i="13"/>
  <c r="J45" i="13" s="1"/>
  <c r="K46" i="12"/>
  <c r="K45" i="12"/>
  <c r="I35" i="9"/>
  <c r="G63" i="9"/>
  <c r="I63" i="9" s="1"/>
  <c r="K46" i="15" l="1"/>
  <c r="K45" i="15"/>
  <c r="K46" i="13"/>
  <c r="K45" i="13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4" l="1"/>
  <c r="J72" i="14" s="1"/>
  <c r="J75" i="14" s="1"/>
  <c r="J80" i="14" s="1"/>
  <c r="I72" i="16"/>
  <c r="J72" i="16" s="1"/>
  <c r="I72" i="13"/>
  <c r="J72" i="13" s="1"/>
  <c r="I72" i="12"/>
  <c r="J72" i="12" s="1"/>
  <c r="I72" i="15"/>
  <c r="J72" i="15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5" i="5" l="1"/>
  <c r="CJ15" i="5" s="1"/>
  <c r="CH8" i="5"/>
  <c r="CH30" i="5"/>
  <c r="CH9" i="5"/>
  <c r="CJ9" i="5" s="1"/>
  <c r="CH33" i="5"/>
  <c r="CJ33" i="5" s="1"/>
  <c r="CH10" i="5"/>
  <c r="CJ10" i="5" s="1"/>
  <c r="CH2" i="5"/>
  <c r="CH3" i="5"/>
  <c r="CJ3" i="5" s="1"/>
  <c r="CH22" i="5"/>
  <c r="CH12" i="5"/>
  <c r="CJ12" i="5" s="1"/>
  <c r="CH13" i="5"/>
  <c r="CJ13" i="5" s="1"/>
  <c r="CH6" i="5"/>
  <c r="CJ6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30" i="5" l="1"/>
  <c r="CJ45" i="5" s="1"/>
  <c r="CJ46" i="5" s="1"/>
  <c r="CH45" i="5"/>
  <c r="CH46" i="5" s="1"/>
  <c r="CJ22" i="5"/>
  <c r="CJ43" i="5" s="1"/>
  <c r="CJ44" i="5" s="1"/>
  <c r="CH43" i="5"/>
  <c r="CH44" i="5" s="1"/>
  <c r="CJ8" i="5"/>
  <c r="CJ38" i="5" s="1"/>
  <c r="CJ39" i="5" s="1"/>
  <c r="CH38" i="5"/>
  <c r="CH39" i="5" s="1"/>
  <c r="CJ2" i="5"/>
  <c r="CJ36" i="5" s="1"/>
  <c r="CJ37" i="5" s="1"/>
  <c r="CH36" i="5"/>
  <c r="CH37" i="5" s="1"/>
  <c r="F80" i="9"/>
  <c r="F45" i="9"/>
  <c r="N22" i="9"/>
  <c r="N21" i="9"/>
  <c r="H51" i="9"/>
  <c r="H43" i="9" s="1"/>
  <c r="I51" i="9"/>
  <c r="I43" i="9" s="1"/>
  <c r="M10" i="16" l="1"/>
  <c r="K48" i="10"/>
  <c r="K37" i="10"/>
  <c r="M10" i="15"/>
  <c r="M10" i="13"/>
  <c r="K15" i="10"/>
  <c r="M10" i="12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51" i="10" l="1"/>
  <c r="L48" i="10"/>
  <c r="L51" i="10" s="1"/>
  <c r="N10" i="16"/>
  <c r="N13" i="16" s="1"/>
  <c r="M13" i="16"/>
  <c r="M38" i="16"/>
  <c r="AB10" i="16"/>
  <c r="AC10" i="16" s="1"/>
  <c r="M13" i="15"/>
  <c r="M38" i="15"/>
  <c r="AB10" i="15"/>
  <c r="AC10" i="15" s="1"/>
  <c r="N10" i="15"/>
  <c r="N13" i="15" s="1"/>
  <c r="K40" i="10"/>
  <c r="L37" i="10"/>
  <c r="L40" i="10" s="1"/>
  <c r="K18" i="10"/>
  <c r="L15" i="10"/>
  <c r="L18" i="10" s="1"/>
  <c r="M13" i="13"/>
  <c r="M38" i="13"/>
  <c r="N10" i="13"/>
  <c r="N13" i="13" s="1"/>
  <c r="AB10" i="13"/>
  <c r="AC10" i="13" s="1"/>
  <c r="K7" i="10"/>
  <c r="L4" i="10"/>
  <c r="L7" i="10" s="1"/>
  <c r="M38" i="12"/>
  <c r="M13" i="12"/>
  <c r="AB10" i="12"/>
  <c r="AC10" i="12" s="1"/>
  <c r="N10" i="12"/>
  <c r="N13" i="12" s="1"/>
  <c r="N41" i="9"/>
  <c r="N38" i="9"/>
  <c r="J43" i="9"/>
  <c r="K43" i="9" s="1"/>
  <c r="I67" i="9"/>
  <c r="I45" i="9" s="1"/>
  <c r="M41" i="16" l="1"/>
  <c r="N38" i="16"/>
  <c r="AB38" i="16"/>
  <c r="M41" i="15"/>
  <c r="AB38" i="15"/>
  <c r="N38" i="15"/>
  <c r="M41" i="13"/>
  <c r="N38" i="13"/>
  <c r="AB38" i="13"/>
  <c r="M41" i="12"/>
  <c r="AB38" i="12"/>
  <c r="N38" i="12"/>
  <c r="J44" i="9"/>
  <c r="K44" i="9" s="1"/>
  <c r="AB44" i="16" l="1"/>
  <c r="AC44" i="16" s="1"/>
  <c r="AC38" i="16"/>
  <c r="N41" i="16"/>
  <c r="I69" i="16"/>
  <c r="AB44" i="15"/>
  <c r="AC44" i="15" s="1"/>
  <c r="AC38" i="15"/>
  <c r="N41" i="15"/>
  <c r="I69" i="15"/>
  <c r="AB44" i="13"/>
  <c r="AC44" i="13" s="1"/>
  <c r="AC38" i="13"/>
  <c r="N41" i="13"/>
  <c r="I69" i="13"/>
  <c r="AB44" i="12"/>
  <c r="AC44" i="12" s="1"/>
  <c r="AC38" i="12"/>
  <c r="N41" i="12"/>
  <c r="I69" i="12"/>
  <c r="J67" i="9"/>
  <c r="J69" i="16" l="1"/>
  <c r="J75" i="16" s="1"/>
  <c r="J80" i="16" s="1"/>
  <c r="I75" i="16"/>
  <c r="I80" i="16" s="1"/>
  <c r="J69" i="15"/>
  <c r="J75" i="15" s="1"/>
  <c r="J80" i="15" s="1"/>
  <c r="I75" i="15"/>
  <c r="I80" i="15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AEED649-1A2D-47D6-A5C9-283A8BA481E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DC2897C-3EF4-4936-9005-B4E538E13AA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EC0D21D-B4A0-4317-B28D-D186D387E41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8472F6D-DACD-4DA2-82CD-6C4EBB1D26E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0DDFA3B-2B08-477C-B274-C7A065CC83F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412BC7C-7684-4113-98B0-56A6990EFD6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81DEBAB-0467-4DAD-93D4-B96EE46345C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9A6C4EF-F9E1-45BB-BE5B-1F8A02ED7D6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2CDCC88-9A52-4A72-81D7-CA164F6E750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5DC5338-5230-4799-B085-DBDE27732FD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487E461-BC2E-420B-9986-77EA88678B7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2DBDA6A-7DE5-4B03-90E1-BCF7A36D172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3573CD8-5B14-4A08-A357-EF3B53D7363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10F6C15-E3C3-435B-B981-C707915F4BE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6C7191E-9A7C-4476-A20E-B961BA210BB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6B28346-AFF5-4EF4-ACAA-C20DA09EE24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F604B83-484F-462A-A674-874E871C015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0709AD3-7E7A-4CB9-90D9-2752C4D1A8F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61858C6-C3B4-46FB-A93B-D62B3F7E7F9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6DB5040-878F-4A04-B804-AE67E16FFE2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10C8C31-0CDA-4F30-8AB7-02434D64BD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2D3BF6D-76F9-4CD5-9123-BD89F829CA3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4FD2D9C-CA29-4D5D-913A-6AA12665039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2C1D46B-0146-4D5B-A5D7-2673D326639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D3C3787-D019-4225-AE4B-72C4DF6C02C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99E572B-A096-45E1-B1DA-A28D1507515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EC0F5F8-7858-4616-AB87-E469B412F3A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19D7F2C-2015-4496-921A-05F61B6C58C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BC50F47-ED08-4934-B022-48EF44F62B4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F1CFBCC-E881-4B6D-BAE7-B714AB1F2CA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1E9DB96-8440-4338-8BBD-5A6E8569424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988B6D3-D4F3-474E-B9FE-671325EB66A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A74E0B4-32F9-4E8A-BA9B-3736F447BCA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7C1EDE2B-1FBB-4609-B6C6-6D61E885E66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99FED0D-9044-4B3E-B4E9-EEC69CBCD4A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42152AE-29D7-4949-963A-0B4976C09FD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CC41E5C-F0DE-4CEE-BB24-90003D66394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5A46E93-57E7-415E-BAE7-85BF3BC311C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7AB888F-6267-4489-AC07-FA3A74D1703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8116789-3E92-4D6F-9986-9CD929F43C4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DF74BC8-B036-4AA9-AEE8-8ABE2181F66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359E72D-2E43-4598-B746-F3655959414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C9E5C7F-3D6A-4F2B-A7D8-19227CC7758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C4ECDF8-9F30-4FEE-9D50-1B3E0211A25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DD9A23E-0494-4615-B08F-B9036BA01FB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7189D160-BC63-4033-BD69-8028E07DB13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9054D6BB-FA8B-4237-BBD3-A8A85C25169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368299D8-C369-43EB-93CD-0A81BDE7FFF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0B05F77E-198A-4D74-9514-C3B3996DAB4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87FF0114-341B-4F7B-91CA-655D83C96C3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<sst xmlns="http://schemas.openxmlformats.org/spreadsheetml/2006/main" count="1588" uniqueCount="342">
  <si>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</si>
  <si>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</si>
  <si>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</si>
  <si>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</si>
  <si>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</si>
  <si>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</si>
  <si>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</si>
  <si>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</si>
  <si>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</si>
  <si>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</si>
  <si>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</si>
  <si>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</si>
  <si>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</si>
  <si>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</si>
  <si>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</si>
  <si>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</si>
  <si>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</si>
  <si>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</si>
  <si>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</si>
  <si>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</si>
  <si>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</si>
  <si>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</si>
  <si>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</si>
  <si>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</si>
  <si>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</si>
  <si>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</si>
  <si>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</si>
  <si>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</si>
  <si>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</si>
  <si>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</si>
  <si>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</si>
  <si>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</si>
  <si>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</si>
  <si>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</si>
  <si>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</si>
  <si>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</si>
  <si>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</si>
  <si>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</si>
  <si>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</si>
  <si>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</si>
  <si>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</si>
  <si>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</si>
  <si>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</si>
  <si>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</si>
  <si>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</si>
  <si>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</si>
  <si>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</si>
  <si>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</si>
  <si>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</si>
  <si>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</si>
  <si>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</si>
  <si>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</si>
  <si>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</si>
  <si>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</si>
  <si>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</si>
  <si>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</si>
  <si>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</si>
  <si>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</si>
  <si>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</si>
  <si>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</si>
  <si>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</si>
  <si>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</si>
  <si>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</si>
  <si>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</si>
  <si>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</si>
  <si>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</si>
  <si>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</si>
  <si>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</si>
  <si>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</si>
  <si>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</si>
  <si>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</si>
  <si>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</si>
  <si>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</si>
  <si>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</si>
  <si>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</si>
  <si>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</si>
  <si>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</si>
  <si>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</si>
  <si>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</si>
  <si>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</si>
  <si>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</si>
  <si>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</si>
  <si>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</si>
  <si>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</si>
  <si>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</si>
  <si>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</si>
  <si>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</si>
  <si>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</si>
  <si>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</si>
  <si>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</si>
  <si>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</si>
  <si>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</si>
  <si>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</si>
  <si>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</si>
  <si>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</si>
  <si>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</si>
  <si>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</si>
  <si>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</si>
  <si>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</si>
  <si>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</si>
  <si>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</si>
  <si>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</si>
  <si>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</si>
  <si>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</si>
  <si>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</si>
  <si>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</si>
  <si>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</si>
  <si>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</si>
  <si>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</si>
  <si>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</si>
  <si>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</si>
  <si>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</si>
  <si>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</si>
  <si>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</si>
  <si>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</si>
  <si>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</si>
  <si>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</si>
  <si>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</si>
  <si>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</si>
  <si>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</si>
  <si>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</si>
  <si>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</si>
  <si>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</si>
  <si>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</si>
  <si>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</si>
  <si>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</si>
  <si>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</si>
  <si>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</si>
  <si>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</si>
  <si>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</si>
  <si>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</si>
  <si>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</si>
  <si>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</si>
  <si>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</si>
  <si>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</si>
  <si>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</si>
  <si>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</si>
  <si>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</si>
  <si>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</si>
  <si>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</si>
  <si>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</si>
  <si>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</si>
  <si>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</si>
  <si>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</si>
  <si>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</si>
  <si>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</si>
  <si>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</si>
  <si>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</si>
  <si>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</si>
  <si>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</si>
  <si>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</si>
  <si>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</si>
  <si>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</si>
  <si>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</si>
  <si>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</si>
  <si>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</si>
  <si>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</si>
  <si>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</si>
  <si>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</si>
  <si>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</si>
  <si>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</si>
  <si>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</si>
  <si>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</si>
  <si>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199</t>
  </si>
  <si>
    <t>0110</t>
  </si>
  <si>
    <t xml:space="preserve">ADMINISTRATOR       </t>
  </si>
  <si>
    <t>0125</t>
  </si>
  <si>
    <t>00</t>
  </si>
  <si>
    <t>GVEA</t>
  </si>
  <si>
    <t>002</t>
  </si>
  <si>
    <t>29000</t>
  </si>
  <si>
    <t>F</t>
  </si>
  <si>
    <t>NR</t>
  </si>
  <si>
    <t>STOVER, RICHARD W.</t>
  </si>
  <si>
    <t>STOVER</t>
  </si>
  <si>
    <t>RICHARD</t>
  </si>
  <si>
    <t>W</t>
  </si>
  <si>
    <t>00000</t>
  </si>
  <si>
    <t>H</t>
  </si>
  <si>
    <t>FS</t>
  </si>
  <si>
    <t>E</t>
  </si>
  <si>
    <t>N</t>
  </si>
  <si>
    <t xml:space="preserve">    </t>
  </si>
  <si>
    <t>0124</t>
  </si>
  <si>
    <t>FINANCIAL SPECIALIST</t>
  </si>
  <si>
    <t>001</t>
  </si>
  <si>
    <t>04245</t>
  </si>
  <si>
    <t>L</t>
  </si>
  <si>
    <t xml:space="preserve">GALVEZ, AMANDA </t>
  </si>
  <si>
    <t>GALVEZ</t>
  </si>
  <si>
    <t>AMANDA</t>
  </si>
  <si>
    <t xml:space="preserve">              </t>
  </si>
  <si>
    <t>Y</t>
  </si>
  <si>
    <t>0120</t>
  </si>
  <si>
    <t>PROGRAM MNGR, TECH A</t>
  </si>
  <si>
    <t>04550</t>
  </si>
  <si>
    <t>WARREN, MARISSA T.</t>
  </si>
  <si>
    <t>WARREN</t>
  </si>
  <si>
    <t>MARISSA</t>
  </si>
  <si>
    <t>T</t>
  </si>
  <si>
    <t>0119</t>
  </si>
  <si>
    <t xml:space="preserve">ATTORNEY 2          </t>
  </si>
  <si>
    <t>003</t>
  </si>
  <si>
    <t>05912</t>
  </si>
  <si>
    <t>LYNCH, GEORGE R.</t>
  </si>
  <si>
    <t>LYNCH</t>
  </si>
  <si>
    <t>GEORGE</t>
  </si>
  <si>
    <t>R</t>
  </si>
  <si>
    <t>0114</t>
  </si>
  <si>
    <t>ENERGY FINANCIAL MAN</t>
  </si>
  <si>
    <t>20142</t>
  </si>
  <si>
    <t>JAPHET, TAMMY J.</t>
  </si>
  <si>
    <t>JAPHET</t>
  </si>
  <si>
    <t>TAMMY</t>
  </si>
  <si>
    <t>J</t>
  </si>
  <si>
    <t>9002</t>
  </si>
  <si>
    <t xml:space="preserve">POLICY ANALYST      </t>
  </si>
  <si>
    <t>0348</t>
  </si>
  <si>
    <t>02334</t>
  </si>
  <si>
    <t>V</t>
  </si>
  <si>
    <t>NG</t>
  </si>
  <si>
    <t>0128</t>
  </si>
  <si>
    <t xml:space="preserve">GARRO, BRENNA </t>
  </si>
  <si>
    <t>GARRO</t>
  </si>
  <si>
    <t>BRENNA</t>
  </si>
  <si>
    <t>0127</t>
  </si>
  <si>
    <t>BOUVIER, ALEXA M.</t>
  </si>
  <si>
    <t>BOUVIER</t>
  </si>
  <si>
    <t>ALEXA</t>
  </si>
  <si>
    <t>MARIE</t>
  </si>
  <si>
    <t>HER, EMILY C.</t>
  </si>
  <si>
    <t>HER</t>
  </si>
  <si>
    <t>EMILY</t>
  </si>
  <si>
    <t>CHOUA</t>
  </si>
  <si>
    <t>0113</t>
  </si>
  <si>
    <t>MENTZER, ANDREW J.</t>
  </si>
  <si>
    <t>MENTZER</t>
  </si>
  <si>
    <t>ANDREW</t>
  </si>
  <si>
    <t>0494</t>
  </si>
  <si>
    <t>03</t>
  </si>
  <si>
    <t>9001</t>
  </si>
  <si>
    <t>ENERGY POLICY ANALYS</t>
  </si>
  <si>
    <t>0199</t>
  </si>
  <si>
    <t>GVEB</t>
  </si>
  <si>
    <t>03156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</si>
  <si>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</si>
  <si>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</si>
  <si>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</si>
  <si>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</si>
  <si>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</si>
  <si>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</si>
  <si>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</si>
  <si>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</si>
  <si>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</si>
  <si>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</si>
  <si>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</si>
  <si>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</si>
  <si>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</si>
  <si>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</si>
  <si>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</si>
  <si>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</si>
  <si>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</si>
  <si>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</si>
  <si>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</si>
  <si>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</si>
  <si>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</si>
  <si>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</si>
  <si>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</si>
  <si>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</si>
  <si>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</si>
  <si>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</si>
  <si>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</si>
  <si>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</si>
  <si>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</si>
  <si>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</si>
  <si>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</si>
  <si>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</si>
  <si>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</si>
  <si>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</si>
  <si>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</si>
  <si>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</si>
  <si>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</si>
  <si>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</si>
  <si>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</si>
  <si>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</si>
  <si>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</si>
  <si>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</si>
  <si>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</si>
  <si>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</si>
  <si>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</si>
  <si>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</si>
  <si>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</si>
  <si>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</si>
  <si>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GVEA 0125-00</t>
  </si>
  <si>
    <t>GVEA 0125</t>
  </si>
  <si>
    <t>Office of the Governor</t>
  </si>
  <si>
    <t>Office of Energy and Mineral Resources</t>
  </si>
  <si>
    <t>Indirect Cost Recovery</t>
  </si>
  <si>
    <t>0125-00</t>
  </si>
  <si>
    <t>12500</t>
  </si>
  <si>
    <t>Office of Energy and Mineral Resources, Indirect Cost Recovery   GVEA-0125-00</t>
  </si>
  <si>
    <t>GVEA 0348-00</t>
  </si>
  <si>
    <t>GVEA 0348</t>
  </si>
  <si>
    <t>Federal Grant</t>
  </si>
  <si>
    <t>0348-00</t>
  </si>
  <si>
    <t>34800</t>
  </si>
  <si>
    <t>Office of Energy and Mineral Resources, Federal Grant   GVEA-0348-00</t>
  </si>
  <si>
    <t>GVEA 0349-00</t>
  </si>
  <si>
    <t>GVEA 0349</t>
  </si>
  <si>
    <t>Miscellaneous Revenue</t>
  </si>
  <si>
    <t>0349-00</t>
  </si>
  <si>
    <t>34900</t>
  </si>
  <si>
    <t>Office of Energy and Mineral Resources, Miscellaneous Revenue   GVEA-0349-00</t>
  </si>
  <si>
    <t>GVEA 0494-00</t>
  </si>
  <si>
    <t>GVEA 0494-03</t>
  </si>
  <si>
    <t>GVEA 0494</t>
  </si>
  <si>
    <t>Petroleum Price Violation</t>
  </si>
  <si>
    <t>0494-00</t>
  </si>
  <si>
    <t>49400</t>
  </si>
  <si>
    <t>Office of Energy and Mineral Resources, Petroleum Price Violation   GVEA-0494-00</t>
  </si>
  <si>
    <t>GVEB 0199-00</t>
  </si>
  <si>
    <t>GVEB 0199</t>
  </si>
  <si>
    <t>Renewable Energy Resources</t>
  </si>
  <si>
    <t>0199-00</t>
  </si>
  <si>
    <t>19900</t>
  </si>
  <si>
    <t>Office of Energy and Mineral Resources, Renewable Energy Resources   GVEB-0199-00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</si>
  <si>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</si>
  <si>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</si>
  <si>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</si>
  <si>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</si>
  <si>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</si>
  <si>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</si>
  <si>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</si>
  <si>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Fund-0125</t>
  </si>
  <si>
    <t>Fund-0199</t>
  </si>
  <si>
    <t>Fund-0348</t>
  </si>
  <si>
    <t>0494-03</t>
  </si>
  <si>
    <t>Fund-0494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</si>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</sst>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4"/>
      <tableStyleElement type="headerRow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075F8-0408-4750-B33A-E11BEB285FAA}">
  <sheetPr codeName="Sheet6">
    <pageSetUpPr fitToPage="1"/>
  </sheetPr>
  <dimension ref="A1:CP80"/>
  <sheetViews>
    <sheetView showGridLines="0" tabSelected="1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295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199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296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299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296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297</v>
      </c>
      <c r="J5" s="412"/>
      <c r="K5" s="412"/>
      <c r="L5" s="411"/>
      <c r="M5" s="352" t="s">
        <v>113</v>
      </c>
      <c r="N5" s="32" t="s">
        <v>298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"&amp;'GVEA|0125-00'!FiscalYear-1&amp;" SALARY"</f>
        <v>FY 2023 SALARY</v>
      </c>
      <c r="H8" s="50" t="str">
        <f>"FY "&amp;'GVEA|0125-00'!FiscalYear-1&amp;" HEALTH BENEFITS"</f>
        <v>FY 2023 HEALTH BENEFITS</v>
      </c>
      <c r="I8" s="50" t="str">
        <f>"FY "&amp;'GVEA|0125-00'!FiscalYear-1&amp;" VAR BENEFITS"</f>
        <v>FY 2023 VAR BENEFITS</v>
      </c>
      <c r="J8" s="50" t="str">
        <f>"FY "&amp;'GVEA|0125-00'!FiscalYear-1&amp;" TOTAL"</f>
        <v>FY 2023 TOTAL</v>
      </c>
      <c r="K8" s="50" t="str">
        <f>"FY "&amp;'GVEA|0125-00'!FiscalYear&amp;" SALARY CHANGE"</f>
        <v>FY 2024 SALARY CHANGE</v>
      </c>
      <c r="L8" s="50" t="str">
        <f>"FY "&amp;'GVEA|0125-00'!FiscalYear&amp;" CHG HEALTH BENEFITS"</f>
        <v>FY 2024 CHG HEALTH BENEFITS</v>
      </c>
      <c r="M8" s="50" t="str">
        <f>"FY "&amp;'GVEA|0125-00'!FiscalYear&amp;"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[0]!GVEA012500col_INC_FTI</f>
        <v>1.8</v>
      </c>
      <c r="G10" s="218">
        <f>[0]!GVEA012500col_FTI_SALARY_PERM</f>
        <v>130228.79999999999</v>
      </c>
      <c r="H10" s="218">
        <f>[0]!GVEA012500col_HEALTH_PERM</f>
        <v>22500</v>
      </c>
      <c r="I10" s="218">
        <f>[0]!GVEA012500col_TOT_VB_PERM</f>
        <v>26919.595247999998</v>
      </c>
      <c r="J10" s="219">
        <f>SUM(G10:I10)</f>
        <v>179648.39524799999</v>
      </c>
      <c r="K10" s="219">
        <f>[0]!GVEA012500col_1_27TH_PP</f>
        <v>0</v>
      </c>
      <c r="L10" s="218">
        <f>[0]!GVEA012500col_HEALTH_PERM_CHG</f>
        <v>2250</v>
      </c>
      <c r="M10" s="218">
        <f>[0]!GVEA012500col_TOT_VB_PERM_CHG</f>
        <v>-1146.0134400000011</v>
      </c>
      <c r="N10" s="218">
        <f>SUM(L10:M10)</f>
        <v>1103.9865599999989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1300</v>
      </c>
      <c r="AB10" s="335">
        <f>ROUND(PermVarBen*CECPerm+(CECPerm*PermVarBenChg),-2)</f>
        <v>300</v>
      </c>
      <c r="AC10" s="335">
        <f>SUM(AA10:AB10)</f>
        <v>1600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[0]!GVEA012500col_Group_Salary</f>
        <v>0</v>
      </c>
      <c r="H11" s="218">
        <v>0</v>
      </c>
      <c r="I11" s="218">
        <f>[0]!GVEA012500col_Group_Ben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[0]!GVEA012500col_TOTAL_ELECT_PCN_FTI</f>
        <v>0</v>
      </c>
      <c r="G12" s="218">
        <f>[0]!GVEA012500col_FTI_SALARY_ELECT</f>
        <v>0</v>
      </c>
      <c r="H12" s="218">
        <f>[0]!GVEA012500col_HEALTH_ELECT</f>
        <v>0</v>
      </c>
      <c r="I12" s="218">
        <f>[0]!GVEA012500col_TOT_VB_ELECT</f>
        <v>0</v>
      </c>
      <c r="J12" s="219">
        <f>SUM(G12:I12)</f>
        <v>0</v>
      </c>
      <c r="K12" s="268"/>
      <c r="L12" s="218">
        <f>[0]!GVEA012500col_HEALTH_ELECT_CHG</f>
        <v>0</v>
      </c>
      <c r="M12" s="218">
        <f>[0]!GVEA012500col_TOT_VB_ELECT_CHG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1.8</v>
      </c>
      <c r="G13" s="221">
        <f>SUM(G10:G12)</f>
        <v>130228.79999999999</v>
      </c>
      <c r="H13" s="221">
        <f>SUM(H10:H12)</f>
        <v>22500</v>
      </c>
      <c r="I13" s="221">
        <f>SUM(I10:I12)</f>
        <v>26919.595247999998</v>
      </c>
      <c r="J13" s="219">
        <f>SUM(G13:I13)</f>
        <v>179648.39524799999</v>
      </c>
      <c r="K13" s="268"/>
      <c r="L13" s="219">
        <f>SUM(L10:L12)</f>
        <v>2250</v>
      </c>
      <c r="M13" s="219">
        <f>SUM(M10:M12)</f>
        <v>-1146.0134400000011</v>
      </c>
      <c r="N13" s="219">
        <f>SUM(N10:N12)</f>
        <v>1103.9865599999989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"&amp;'GVEA|0125-00'!FiscalYear-1</f>
        <v>FY 2023</v>
      </c>
      <c r="D15" s="158" t="s">
        <v>31</v>
      </c>
      <c r="E15" s="355">
        <v>215600</v>
      </c>
      <c r="F15" s="55">
        <v>1.55</v>
      </c>
      <c r="G15" s="223">
        <f>IF(OrigApprop=0,0,(G13/$J$13)*OrigApprop)</f>
        <v>156290.45414650082</v>
      </c>
      <c r="H15" s="223">
        <f>IF(OrigApprop=0,0,(H13/$J$13)*OrigApprop)</f>
        <v>27002.746076875996</v>
      </c>
      <c r="I15" s="223">
        <f>IF(G15=0,0,(I13/$J$13)*OrigApprop)</f>
        <v>32306.799776623186</v>
      </c>
      <c r="J15" s="223">
        <f>SUM(G15:I15)</f>
        <v>215600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-0.25</v>
      </c>
      <c r="G16" s="162">
        <f>G15-G13</f>
        <v>26061.654146500834</v>
      </c>
      <c r="H16" s="162">
        <f>H15-H13</f>
        <v>4502.7460768759956</v>
      </c>
      <c r="I16" s="162">
        <f>I15-I13</f>
        <v>5387.2045286231878</v>
      </c>
      <c r="J16" s="162">
        <f>J15-J13</f>
        <v>35951.604752000014</v>
      </c>
      <c r="K16" s="269"/>
      <c r="L16" s="56" t="str">
        <f>IF('GVEA|0125-00'!OrigApprop=0,"No Original Appropriation amount in DU 3.00 for this fund","Calculated "&amp;IF('GVEA|0125-00'!AdjustedTotal&gt;0,"overfunding ","underfunding ")&amp;"is "&amp;TEXT('GVEA|0125-00'!AdjustedTotal/'GVEA|0125-00'!AppropTotal,"#.0%;(#.0% );0% ;")&amp;" of Original Appropriation")</f>
        <v>Calculated overfunding is 16.7%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1.8</v>
      </c>
      <c r="G38" s="191">
        <f>SUMIF($E10:$E35,$E38,$G10:$G35)</f>
        <v>130228.79999999999</v>
      </c>
      <c r="H38" s="192">
        <f>SUMIF($E10:$E35,$E38,$H10:$H35)</f>
        <v>22500</v>
      </c>
      <c r="I38" s="192">
        <f>SUMIF($E10:$E35,$E38,$I10:$I35)</f>
        <v>26919.595247999998</v>
      </c>
      <c r="J38" s="192">
        <f>SUM(G38:I38)</f>
        <v>179648.39524799999</v>
      </c>
      <c r="K38" s="166"/>
      <c r="L38" s="191">
        <f>SUMIF($E10:$E35,$E38,$L10:$L35)</f>
        <v>2250</v>
      </c>
      <c r="M38" s="192">
        <f>SUMIF($E10:$E35,$E38,$M10:$M35)</f>
        <v>-1146.0134400000011</v>
      </c>
      <c r="N38" s="192">
        <f>SUM(L38:M38)</f>
        <v>1103.9865599999989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1300</v>
      </c>
      <c r="AB38" s="338">
        <f>ROUND((AdjPermVB*CECPerm+AdjPermVBBY*CECPerm),-2)</f>
        <v>300</v>
      </c>
      <c r="AC38" s="338">
        <f>SUM(AA38:AB38)</f>
        <v>1600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1.8</v>
      </c>
      <c r="G41" s="195">
        <f>SUM($G$38:$G$40)</f>
        <v>130228.79999999999</v>
      </c>
      <c r="H41" s="162">
        <f>SUM($H$38:$H$40)</f>
        <v>22500</v>
      </c>
      <c r="I41" s="162">
        <f>SUM($I$38:$I$40)</f>
        <v>26919.595247999998</v>
      </c>
      <c r="J41" s="162">
        <f>SUM($J$38:$J$40)</f>
        <v>179648.39524799999</v>
      </c>
      <c r="K41" s="259"/>
      <c r="L41" s="195">
        <f>SUM($L$38:$L$40)</f>
        <v>2250</v>
      </c>
      <c r="M41" s="162">
        <f>SUM($M$38:$M$40)</f>
        <v>-1146.0134400000011</v>
      </c>
      <c r="N41" s="162">
        <f>SUM(L41:M41)</f>
        <v>1103.9865599999989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-0.25</v>
      </c>
      <c r="G43" s="206">
        <f>G51-G41</f>
        <v>26061.654146500834</v>
      </c>
      <c r="H43" s="159">
        <f>H51-H41</f>
        <v>4502.7460768759956</v>
      </c>
      <c r="I43" s="159">
        <f>I51-I41</f>
        <v>5387.2045286231878</v>
      </c>
      <c r="J43" s="159">
        <f>SUM(G43:I43)</f>
        <v>35951.604752000014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16.7%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-0.25</v>
      </c>
      <c r="G44" s="206">
        <f>G60-G41</f>
        <v>26071.200000000012</v>
      </c>
      <c r="H44" s="159">
        <f>H60-H41</f>
        <v>4500</v>
      </c>
      <c r="I44" s="159">
        <f>I60-I41</f>
        <v>5380.4047520000022</v>
      </c>
      <c r="J44" s="159">
        <f>SUM(G44:I44)</f>
        <v>35951.604752000014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16.7%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-0.25</v>
      </c>
      <c r="G45" s="206">
        <f>G67-G41-G63</f>
        <v>26071.200000000012</v>
      </c>
      <c r="H45" s="206">
        <f>H67-H41-H63</f>
        <v>4500</v>
      </c>
      <c r="I45" s="206">
        <f>I67-I41-I63</f>
        <v>5380.4047520000022</v>
      </c>
      <c r="J45" s="159">
        <f>SUM(G45:I45)</f>
        <v>35951.604752000014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16.7%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215600</v>
      </c>
      <c r="F51" s="272">
        <f>AppropFTP</f>
        <v>1.55</v>
      </c>
      <c r="G51" s="274">
        <f>IF(E51=0,0,(G41/$J$41)*$E$51)</f>
        <v>156290.45414650082</v>
      </c>
      <c r="H51" s="274">
        <f>IF(E51=0,0,(H41/$J$41)*$E$51)</f>
        <v>27002.746076875996</v>
      </c>
      <c r="I51" s="275">
        <f>IF(E51=0,0,(I41/$J$41)*$E$51)</f>
        <v>32306.799776623186</v>
      </c>
      <c r="J51" s="90">
        <f>SUM(G51:I51)</f>
        <v>215600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1.55</v>
      </c>
      <c r="G52" s="79">
        <f>ROUND(G51,-2)</f>
        <v>156300</v>
      </c>
      <c r="H52" s="79">
        <f>ROUND(H51,-2)</f>
        <v>27000</v>
      </c>
      <c r="I52" s="266">
        <f>ROUND(I51,-2)</f>
        <v>32300</v>
      </c>
      <c r="J52" s="80">
        <f>ROUND(J51,-2)</f>
        <v>215600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1.55</v>
      </c>
      <c r="G56" s="80">
        <f>SUM(G52:G55)</f>
        <v>156300</v>
      </c>
      <c r="H56" s="80">
        <f>SUM(H52:H55)</f>
        <v>27000</v>
      </c>
      <c r="I56" s="260">
        <f>SUM(I52:I55)</f>
        <v>32300</v>
      </c>
      <c r="J56" s="80">
        <f>SUM(J52:J55)</f>
        <v>215600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1.55</v>
      </c>
      <c r="G60" s="80">
        <f>SUM(G56:G59)</f>
        <v>156300</v>
      </c>
      <c r="H60" s="80">
        <f>SUM(H56:H59)</f>
        <v>27000</v>
      </c>
      <c r="I60" s="260">
        <f>SUM(I56:I59)</f>
        <v>32300</v>
      </c>
      <c r="J60" s="80">
        <f>SUM(J56:J59)</f>
        <v>215600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1.55</v>
      </c>
      <c r="G67" s="80">
        <f>SUM(G60:G64)</f>
        <v>156300</v>
      </c>
      <c r="H67" s="80">
        <f>SUM(H60:H64)</f>
        <v>27000</v>
      </c>
      <c r="I67" s="80">
        <f>SUM(I60:I64)</f>
        <v>32300</v>
      </c>
      <c r="J67" s="80">
        <f>SUM(J60:J64)</f>
        <v>215600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2300</v>
      </c>
      <c r="I68" s="113"/>
      <c r="J68" s="287">
        <f>SUM(G68:I68)</f>
        <v>2300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-1100</v>
      </c>
      <c r="J69" s="287">
        <f>SUM(G69:I69)</f>
        <v>-1100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1300</v>
      </c>
      <c r="H72" s="287"/>
      <c r="I72" s="287">
        <f>ROUND(($G72*PermVBBY+$G72*Retire1BY),-2)</f>
        <v>300</v>
      </c>
      <c r="J72" s="113">
        <f>SUM(G72:I72)</f>
        <v>1600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1.55</v>
      </c>
      <c r="G75" s="80">
        <f>SUM(G67:G74)</f>
        <v>157600</v>
      </c>
      <c r="H75" s="80">
        <f>SUM(H67:H74)</f>
        <v>29300</v>
      </c>
      <c r="I75" s="80">
        <f>SUM(I67:I74)</f>
        <v>31500</v>
      </c>
      <c r="J75" s="80">
        <f>SUM(J67:K74)</f>
        <v>218400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1.55</v>
      </c>
      <c r="G80" s="80">
        <f>SUM(G75:G79)</f>
        <v>157600</v>
      </c>
      <c r="H80" s="80">
        <f>SUM(H75:H79)</f>
        <v>29300</v>
      </c>
      <c r="I80" s="80">
        <f>SUM(I75:I79)</f>
        <v>31500</v>
      </c>
      <c r="J80" s="80">
        <f>SUM(J75:J79)</f>
        <v>218400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2" priority="8">
      <formula>$J$44&lt;0</formula>
    </cfRule>
  </conditionalFormatting>
  <conditionalFormatting sqref="K43">
    <cfRule type="expression" dxfId="51" priority="7">
      <formula>$J$43&lt;0</formula>
    </cfRule>
  </conditionalFormatting>
  <conditionalFormatting sqref="L16">
    <cfRule type="expression" dxfId="50" priority="6">
      <formula>$J$16&lt;0</formula>
    </cfRule>
  </conditionalFormatting>
  <conditionalFormatting sqref="K45">
    <cfRule type="expression" dxfId="49" priority="5">
      <formula>$J$44&lt;0</formula>
    </cfRule>
  </conditionalFormatting>
  <conditionalFormatting sqref="K43:N45">
    <cfRule type="containsText" dxfId="48" priority="4" operator="containsText" text="underfunding">
      <formula>NOT(ISERROR(SEARCH("underfunding",K43)))</formula>
    </cfRule>
  </conditionalFormatting>
  <conditionalFormatting sqref="K44">
    <cfRule type="expression" dxfId="47" priority="3">
      <formula>$J$44&lt;0</formula>
    </cfRule>
  </conditionalFormatting>
  <conditionalFormatting sqref="K45">
    <cfRule type="expression" dxfId="46" priority="2">
      <formula>$J$44&lt;0</formula>
    </cfRule>
  </conditionalFormatting>
  <conditionalFormatting sqref="K45">
    <cfRule type="expression" dxfId="4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3E901F-D4C4-41C7-9542-52F212CB719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7"/>
  <sheetViews>
    <sheetView workbookViewId="0">
      <selection activeCell="E8" sqref="E8:M27"/>
    </sheetView>
  </sheetViews>
  <sheetFormatPr defaultRowHeight="1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6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>
      <c r="A2" s="251" t="s">
        <v>95</v>
      </c>
      <c r="B2" s="251"/>
      <c r="C2" s="251"/>
    </row>
    <row r="4" spans="1:13" ht="21">
      <c r="A4" s="252"/>
      <c r="B4" s="252"/>
      <c r="C4" s="252"/>
    </row>
    <row r="5" spans="1:13" ht="15.75" customHeight="1">
      <c r="E5" s="255" t="s">
        <v>81</v>
      </c>
      <c r="F5" s="478" t="s">
        <v>329</v>
      </c>
      <c r="G5" s="478"/>
      <c r="H5" s="479" t="s">
        <v>327</v>
      </c>
      <c r="I5" s="478" t="s">
        <v>330</v>
      </c>
      <c r="J5" s="478"/>
      <c r="K5" s="479" t="s">
        <v>328</v>
      </c>
      <c r="L5" s="478" t="s">
        <v>331</v>
      </c>
      <c r="M5" s="478"/>
    </row>
    <row r="6" spans="1:13" ht="15.7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>
      <c r="A7" s="393" t="s">
        <v>332</v>
      </c>
      <c r="D7" s="250"/>
    </row>
    <row r="8" spans="1:13">
      <c r="C8" t="s">
        <v>298</v>
      </c>
      <c r="D8" s="250"/>
      <c r="E8" s="403">
        <f>Data!AS54</f>
        <v>1.8</v>
      </c>
      <c r="F8" s="403">
        <f>Data!AT54</f>
        <v>107764.85</v>
      </c>
      <c r="G8" s="403">
        <f>Data!AU54</f>
        <v>42005.7</v>
      </c>
      <c r="H8" s="403">
        <f>Data!AV54</f>
        <v>130228.79999999999</v>
      </c>
      <c r="I8" s="403">
        <f>Data!AW54</f>
        <v>22500</v>
      </c>
      <c r="J8" s="403">
        <f>Data!AX54</f>
        <v>26919.595247999998</v>
      </c>
      <c r="K8" s="403">
        <f>Data!AY54</f>
        <v>130228.79999999999</v>
      </c>
      <c r="L8" s="403">
        <f>Data!AZ54</f>
        <v>24750</v>
      </c>
      <c r="M8" s="403">
        <f>Data!BA54</f>
        <v>25773.581807999995</v>
      </c>
    </row>
    <row r="9" spans="1:13">
      <c r="B9" t="s">
        <v>333</v>
      </c>
      <c r="D9" s="250"/>
      <c r="E9" s="404">
        <f>Data!AS55</f>
        <v>1.8</v>
      </c>
      <c r="F9" s="404">
        <f>Data!AT55</f>
        <v>107764.85</v>
      </c>
      <c r="G9" s="404">
        <f>Data!AU55</f>
        <v>42005.7</v>
      </c>
      <c r="H9" s="404">
        <f>Data!AV55</f>
        <v>130228.79999999999</v>
      </c>
      <c r="I9" s="404">
        <f>Data!AW55</f>
        <v>22500</v>
      </c>
      <c r="J9" s="404">
        <f>Data!AX55</f>
        <v>26919.595247999998</v>
      </c>
      <c r="K9" s="404">
        <f>Data!AY55</f>
        <v>130228.79999999999</v>
      </c>
      <c r="L9" s="404">
        <f>Data!AZ55</f>
        <v>24750</v>
      </c>
      <c r="M9" s="404">
        <f>Data!BA55</f>
        <v>25773.581807999995</v>
      </c>
    </row>
    <row r="10" spans="1:13">
      <c r="C10" t="s">
        <v>323</v>
      </c>
      <c r="D10" s="250"/>
      <c r="E10" s="403">
        <f>Data!AS56</f>
        <v>0.79999999999999993</v>
      </c>
      <c r="F10" s="403">
        <f>Data!AT56</f>
        <v>88668.170000000013</v>
      </c>
      <c r="G10" s="403">
        <f>Data!AU56</f>
        <v>27755.530000000002</v>
      </c>
      <c r="H10" s="403">
        <f>Data!AV56</f>
        <v>99453.119999999995</v>
      </c>
      <c r="I10" s="403">
        <f>Data!AW56</f>
        <v>10000</v>
      </c>
      <c r="J10" s="403">
        <f>Data!AX56</f>
        <v>20557.954435200001</v>
      </c>
      <c r="K10" s="403">
        <f>Data!AY56</f>
        <v>99453.119999999995</v>
      </c>
      <c r="L10" s="403">
        <f>Data!AZ56</f>
        <v>11000</v>
      </c>
      <c r="M10" s="403">
        <f>Data!BA56</f>
        <v>19682.766979200002</v>
      </c>
    </row>
    <row r="11" spans="1:13">
      <c r="B11" t="s">
        <v>334</v>
      </c>
      <c r="D11" s="250"/>
      <c r="E11" s="404">
        <f>Data!AS57</f>
        <v>0.79999999999999993</v>
      </c>
      <c r="F11" s="404">
        <f>Data!AT57</f>
        <v>88668.170000000013</v>
      </c>
      <c r="G11" s="404">
        <f>Data!AU57</f>
        <v>27755.530000000002</v>
      </c>
      <c r="H11" s="404">
        <f>Data!AV57</f>
        <v>99453.119999999995</v>
      </c>
      <c r="I11" s="404">
        <f>Data!AW57</f>
        <v>10000</v>
      </c>
      <c r="J11" s="404">
        <f>Data!AX57</f>
        <v>20557.954435200001</v>
      </c>
      <c r="K11" s="404">
        <f>Data!AY57</f>
        <v>99453.119999999995</v>
      </c>
      <c r="L11" s="404">
        <f>Data!AZ57</f>
        <v>11000</v>
      </c>
      <c r="M11" s="404">
        <f>Data!BA57</f>
        <v>19682.766979200002</v>
      </c>
    </row>
    <row r="12" spans="1:13">
      <c r="C12" t="s">
        <v>304</v>
      </c>
      <c r="D12" s="250"/>
      <c r="E12" s="403">
        <f>Data!AS58</f>
        <v>5.9</v>
      </c>
      <c r="F12" s="403">
        <f>Data!AT58</f>
        <v>207697.22999999998</v>
      </c>
      <c r="G12" s="403">
        <f>Data!AU58</f>
        <v>85324.25</v>
      </c>
      <c r="H12" s="403">
        <f>Data!AV58</f>
        <v>377241.28</v>
      </c>
      <c r="I12" s="403">
        <f>Data!AW58</f>
        <v>73750</v>
      </c>
      <c r="J12" s="403">
        <f>Data!AX58</f>
        <v>77979.544988800015</v>
      </c>
      <c r="K12" s="403">
        <f>Data!AY58</f>
        <v>377241.28</v>
      </c>
      <c r="L12" s="403">
        <f>Data!AZ58</f>
        <v>81125</v>
      </c>
      <c r="M12" s="403">
        <f>Data!BA58</f>
        <v>74659.821724799986</v>
      </c>
    </row>
    <row r="13" spans="1:13">
      <c r="B13" t="s">
        <v>335</v>
      </c>
      <c r="D13" s="250"/>
      <c r="E13" s="404">
        <f>Data!AS59</f>
        <v>5.9</v>
      </c>
      <c r="F13" s="404">
        <f>Data!AT59</f>
        <v>207697.22999999998</v>
      </c>
      <c r="G13" s="404">
        <f>Data!AU59</f>
        <v>85324.25</v>
      </c>
      <c r="H13" s="404">
        <f>Data!AV59</f>
        <v>377241.28</v>
      </c>
      <c r="I13" s="404">
        <f>Data!AW59</f>
        <v>73750</v>
      </c>
      <c r="J13" s="404">
        <f>Data!AX59</f>
        <v>77979.544988800015</v>
      </c>
      <c r="K13" s="404">
        <f>Data!AY59</f>
        <v>377241.28</v>
      </c>
      <c r="L13" s="404">
        <f>Data!AZ59</f>
        <v>81125</v>
      </c>
      <c r="M13" s="404">
        <f>Data!BA59</f>
        <v>74659.821724799986</v>
      </c>
    </row>
    <row r="14" spans="1:13">
      <c r="C14" t="s">
        <v>336</v>
      </c>
      <c r="E14" s="403">
        <f>Data!AS60</f>
        <v>0.5</v>
      </c>
      <c r="F14" s="403">
        <f>Data!AT60</f>
        <v>54947.240000000005</v>
      </c>
      <c r="G14" s="403">
        <f>Data!AU60</f>
        <v>22765.520000000004</v>
      </c>
      <c r="H14" s="403">
        <f>Data!AV60</f>
        <v>36649.599999999999</v>
      </c>
      <c r="I14" s="403">
        <f>Data!AW60</f>
        <v>6250</v>
      </c>
      <c r="J14" s="403">
        <f>Data!AX60</f>
        <v>7575.8388159999995</v>
      </c>
      <c r="K14" s="403">
        <f>Data!AY60</f>
        <v>36649.599999999999</v>
      </c>
      <c r="L14" s="403">
        <f>Data!AZ60</f>
        <v>6875</v>
      </c>
      <c r="M14" s="403">
        <f>Data!BA60</f>
        <v>7253.3223359999993</v>
      </c>
    </row>
    <row r="15" spans="1:13">
      <c r="B15" t="s">
        <v>337</v>
      </c>
      <c r="E15" s="404">
        <f>Data!AS61</f>
        <v>0.5</v>
      </c>
      <c r="F15" s="404">
        <f>Data!AT61</f>
        <v>54947.240000000005</v>
      </c>
      <c r="G15" s="404">
        <f>Data!AU61</f>
        <v>22765.520000000004</v>
      </c>
      <c r="H15" s="404">
        <f>Data!AV61</f>
        <v>36649.599999999999</v>
      </c>
      <c r="I15" s="404">
        <f>Data!AW61</f>
        <v>6250</v>
      </c>
      <c r="J15" s="404">
        <f>Data!AX61</f>
        <v>7575.8388159999995</v>
      </c>
      <c r="K15" s="404">
        <f>Data!AY61</f>
        <v>36649.599999999999</v>
      </c>
      <c r="L15" s="404">
        <f>Data!AZ61</f>
        <v>6875</v>
      </c>
      <c r="M15" s="404">
        <f>Data!BA61</f>
        <v>7253.3223359999993</v>
      </c>
    </row>
    <row r="16" spans="1:13">
      <c r="E16" s="403">
        <f>Data!AS62</f>
        <v>0</v>
      </c>
      <c r="F16" s="403">
        <f>Data!AT62</f>
        <v>0</v>
      </c>
      <c r="G16" s="403">
        <f>Data!AU62</f>
        <v>0</v>
      </c>
      <c r="H16" s="403">
        <f>Data!AV62</f>
        <v>0</v>
      </c>
      <c r="I16" s="403">
        <f>Data!AW62</f>
        <v>0</v>
      </c>
      <c r="J16" s="403">
        <f>Data!AX62</f>
        <v>0</v>
      </c>
      <c r="K16" s="403">
        <f>Data!AY62</f>
        <v>0</v>
      </c>
      <c r="L16" s="403">
        <f>Data!AZ62</f>
        <v>0</v>
      </c>
      <c r="M16" s="403">
        <f>Data!BA62</f>
        <v>0</v>
      </c>
    </row>
    <row r="17" spans="1:13">
      <c r="A17" s="397" t="s">
        <v>338</v>
      </c>
      <c r="E17" s="405">
        <f>Data!AS63</f>
        <v>9</v>
      </c>
      <c r="F17" s="405">
        <f>Data!AT63</f>
        <v>459077.49</v>
      </c>
      <c r="G17" s="405">
        <f>Data!AU63</f>
        <v>177851</v>
      </c>
      <c r="H17" s="405">
        <f>Data!AV63</f>
        <v>643572.79999999993</v>
      </c>
      <c r="I17" s="405">
        <f>Data!AW63</f>
        <v>112500</v>
      </c>
      <c r="J17" s="405">
        <f>Data!AX63</f>
        <v>133032.93348800001</v>
      </c>
      <c r="K17" s="405">
        <f>Data!AY63</f>
        <v>643572.79999999993</v>
      </c>
      <c r="L17" s="405">
        <f>Data!AZ63</f>
        <v>123750</v>
      </c>
      <c r="M17" s="405">
        <f>Data!BA63</f>
        <v>127369.49284799998</v>
      </c>
    </row>
    <row r="18" spans="1:13">
      <c r="E18" s="403">
        <f>Data!AS64</f>
        <v>0</v>
      </c>
      <c r="F18" s="403">
        <f>Data!AT64</f>
        <v>0</v>
      </c>
      <c r="G18" s="403">
        <f>Data!AU64</f>
        <v>0</v>
      </c>
      <c r="H18" s="403">
        <f>Data!AV64</f>
        <v>0</v>
      </c>
      <c r="I18" s="403">
        <f>Data!AW64</f>
        <v>0</v>
      </c>
      <c r="J18" s="403">
        <f>Data!AX64</f>
        <v>0</v>
      </c>
      <c r="K18" s="403">
        <f>Data!AY64</f>
        <v>0</v>
      </c>
      <c r="L18" s="403">
        <f>Data!AZ64</f>
        <v>0</v>
      </c>
      <c r="M18" s="403">
        <f>Data!BA64</f>
        <v>0</v>
      </c>
    </row>
    <row r="19" spans="1:13">
      <c r="A19" s="393" t="s">
        <v>339</v>
      </c>
      <c r="E19" s="403">
        <f>Data!AS65</f>
        <v>0</v>
      </c>
      <c r="F19" s="403">
        <f>Data!AT65</f>
        <v>0</v>
      </c>
      <c r="G19" s="403">
        <f>Data!AU65</f>
        <v>0</v>
      </c>
      <c r="H19" s="403">
        <f>Data!AV65</f>
        <v>0</v>
      </c>
      <c r="I19" s="403">
        <f>Data!AW65</f>
        <v>0</v>
      </c>
      <c r="J19" s="403">
        <f>Data!AX65</f>
        <v>0</v>
      </c>
      <c r="K19" s="403">
        <f>Data!AY65</f>
        <v>0</v>
      </c>
      <c r="L19" s="403">
        <f>Data!AZ65</f>
        <v>0</v>
      </c>
      <c r="M19" s="403">
        <f>Data!BA65</f>
        <v>0</v>
      </c>
    </row>
    <row r="20" spans="1:13">
      <c r="C20" t="s">
        <v>304</v>
      </c>
      <c r="E20" s="403">
        <f>Data!AS66</f>
        <v>0</v>
      </c>
      <c r="F20" s="403">
        <f>Data!AT66</f>
        <v>5152</v>
      </c>
      <c r="G20" s="403">
        <f>Data!AU66</f>
        <v>3494.18</v>
      </c>
      <c r="H20" s="403">
        <f>Data!AV66</f>
        <v>5152</v>
      </c>
      <c r="I20" s="403">
        <f>Data!AW66</f>
        <v>0</v>
      </c>
      <c r="J20" s="403">
        <f>Data!AX66</f>
        <v>3494.18</v>
      </c>
      <c r="K20" s="403">
        <f>Data!AY66</f>
        <v>5152</v>
      </c>
      <c r="L20" s="403">
        <f>Data!AZ66</f>
        <v>0</v>
      </c>
      <c r="M20" s="403">
        <f>Data!BA66</f>
        <v>3494.18</v>
      </c>
    </row>
    <row r="21" spans="1:13">
      <c r="B21" t="s">
        <v>335</v>
      </c>
      <c r="E21" s="404">
        <f>Data!AS67</f>
        <v>0</v>
      </c>
      <c r="F21" s="404">
        <f>Data!AT67</f>
        <v>5152</v>
      </c>
      <c r="G21" s="404">
        <f>Data!AU67</f>
        <v>3494.18</v>
      </c>
      <c r="H21" s="404">
        <f>Data!AV67</f>
        <v>5152</v>
      </c>
      <c r="I21" s="404">
        <f>Data!AW67</f>
        <v>0</v>
      </c>
      <c r="J21" s="404">
        <f>Data!AX67</f>
        <v>3494.18</v>
      </c>
      <c r="K21" s="404">
        <f>Data!AY67</f>
        <v>5152</v>
      </c>
      <c r="L21" s="404">
        <f>Data!AZ67</f>
        <v>0</v>
      </c>
      <c r="M21" s="404">
        <f>Data!BA67</f>
        <v>3494.18</v>
      </c>
    </row>
    <row r="22" spans="1:13">
      <c r="C22" t="s">
        <v>336</v>
      </c>
      <c r="E22" s="403">
        <f>Data!AS68</f>
        <v>0</v>
      </c>
      <c r="F22" s="403">
        <f>Data!AT68</f>
        <v>10028</v>
      </c>
      <c r="G22" s="403">
        <f>Data!AU68</f>
        <v>4120.7299999999996</v>
      </c>
      <c r="H22" s="403">
        <f>Data!AV68</f>
        <v>10028</v>
      </c>
      <c r="I22" s="403">
        <f>Data!AW68</f>
        <v>0</v>
      </c>
      <c r="J22" s="403">
        <f>Data!AX68</f>
        <v>4120.7299999999996</v>
      </c>
      <c r="K22" s="403">
        <f>Data!AY68</f>
        <v>10028</v>
      </c>
      <c r="L22" s="403">
        <f>Data!AZ68</f>
        <v>0</v>
      </c>
      <c r="M22" s="403">
        <f>Data!BA68</f>
        <v>4120.7299999999996</v>
      </c>
    </row>
    <row r="23" spans="1:13">
      <c r="B23" t="s">
        <v>337</v>
      </c>
      <c r="E23" s="404">
        <f>Data!AS69</f>
        <v>0</v>
      </c>
      <c r="F23" s="404">
        <f>Data!AT69</f>
        <v>10028</v>
      </c>
      <c r="G23" s="404">
        <f>Data!AU69</f>
        <v>4120.7299999999996</v>
      </c>
      <c r="H23" s="404">
        <f>Data!AV69</f>
        <v>10028</v>
      </c>
      <c r="I23" s="404">
        <f>Data!AW69</f>
        <v>0</v>
      </c>
      <c r="J23" s="404">
        <f>Data!AX69</f>
        <v>4120.7299999999996</v>
      </c>
      <c r="K23" s="404">
        <f>Data!AY69</f>
        <v>10028</v>
      </c>
      <c r="L23" s="404">
        <f>Data!AZ69</f>
        <v>0</v>
      </c>
      <c r="M23" s="404">
        <f>Data!BA69</f>
        <v>4120.7299999999996</v>
      </c>
    </row>
    <row r="24" spans="1:13">
      <c r="E24" s="403">
        <f>Data!AS70</f>
        <v>0</v>
      </c>
      <c r="F24" s="403">
        <f>Data!AT70</f>
        <v>0</v>
      </c>
      <c r="G24" s="403">
        <f>Data!AU70</f>
        <v>0</v>
      </c>
      <c r="H24" s="403">
        <f>Data!AV70</f>
        <v>0</v>
      </c>
      <c r="I24" s="403">
        <f>Data!AW70</f>
        <v>0</v>
      </c>
      <c r="J24" s="403">
        <f>Data!AX70</f>
        <v>0</v>
      </c>
      <c r="K24" s="403">
        <f>Data!AY70</f>
        <v>0</v>
      </c>
      <c r="L24" s="403">
        <f>Data!AZ70</f>
        <v>0</v>
      </c>
      <c r="M24" s="403">
        <f>Data!BA70</f>
        <v>0</v>
      </c>
    </row>
    <row r="25" spans="1:13">
      <c r="A25" s="397" t="s">
        <v>340</v>
      </c>
      <c r="E25" s="405">
        <f>Data!AS71</f>
        <v>0</v>
      </c>
      <c r="F25" s="405">
        <f>Data!AT71</f>
        <v>15180</v>
      </c>
      <c r="G25" s="405">
        <f>Data!AU71</f>
        <v>7614.91</v>
      </c>
      <c r="H25" s="405">
        <f>Data!AV71</f>
        <v>15180</v>
      </c>
      <c r="I25" s="405">
        <f>Data!AW71</f>
        <v>0</v>
      </c>
      <c r="J25" s="405">
        <f>Data!AX71</f>
        <v>7614.91</v>
      </c>
      <c r="K25" s="405">
        <f>Data!AY71</f>
        <v>15180</v>
      </c>
      <c r="L25" s="405">
        <f>Data!AZ71</f>
        <v>0</v>
      </c>
      <c r="M25" s="405">
        <f>Data!BA71</f>
        <v>7614.91</v>
      </c>
    </row>
    <row r="26" spans="1:13">
      <c r="E26" s="403">
        <f>Data!AS72</f>
        <v>0</v>
      </c>
      <c r="F26" s="403">
        <f>Data!AT72</f>
        <v>0</v>
      </c>
      <c r="G26" s="403">
        <f>Data!AU72</f>
        <v>0</v>
      </c>
      <c r="H26" s="403">
        <f>Data!AV72</f>
        <v>0</v>
      </c>
      <c r="I26" s="403">
        <f>Data!AW72</f>
        <v>0</v>
      </c>
      <c r="J26" s="403">
        <f>Data!AX72</f>
        <v>0</v>
      </c>
      <c r="K26" s="403">
        <f>Data!AY72</f>
        <v>0</v>
      </c>
      <c r="L26" s="403">
        <f>Data!AZ72</f>
        <v>0</v>
      </c>
      <c r="M26" s="403">
        <f>Data!BA72</f>
        <v>0</v>
      </c>
    </row>
    <row r="27" spans="1:13">
      <c r="A27" s="398" t="s">
        <v>341</v>
      </c>
      <c r="E27" s="401">
        <f>Data!AS73</f>
        <v>9</v>
      </c>
      <c r="F27" s="402">
        <f>Data!AT73</f>
        <v>474257.49</v>
      </c>
      <c r="G27" s="402">
        <f>Data!AU73</f>
        <v>185465.91</v>
      </c>
      <c r="H27" s="402">
        <f>Data!AV73</f>
        <v>658752.79999999993</v>
      </c>
      <c r="I27" s="402">
        <f>Data!AW73</f>
        <v>112500</v>
      </c>
      <c r="J27" s="402">
        <f>Data!AX73</f>
        <v>140647.84348800001</v>
      </c>
      <c r="K27" s="402">
        <f>Data!AY73</f>
        <v>658752.79999999993</v>
      </c>
      <c r="L27" s="402">
        <f>Data!AZ73</f>
        <v>123750</v>
      </c>
      <c r="M27" s="402">
        <f>Data!BA73</f>
        <v>134984.40284799997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Office of the Governor&amp;R&amp;"Arial"&amp;10 Agency 199</oddHeader>
    <oddFooter>&amp;L&amp;"Arial"&amp;10 B6:Summary by Fund&amp;R&amp;"Arial"&amp;10 FY 2023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7A2C-B92C-4215-910E-088D53D1A6D1}">
  <sheetPr codeName="Sheet7"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295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199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296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305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296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303</v>
      </c>
      <c r="J5" s="412"/>
      <c r="K5" s="412"/>
      <c r="L5" s="411"/>
      <c r="M5" s="352" t="s">
        <v>113</v>
      </c>
      <c r="N5" s="32" t="s">
        <v>304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"&amp;'GVEA|0348-00'!FiscalYear-1&amp;" SALARY"</f>
        <v>FY 2023 SALARY</v>
      </c>
      <c r="H8" s="50" t="str">
        <f>"FY "&amp;'GVEA|0348-00'!FiscalYear-1&amp;" HEALTH BENEFITS"</f>
        <v>FY 2023 HEALTH BENEFITS</v>
      </c>
      <c r="I8" s="50" t="str">
        <f>"FY "&amp;'GVEA|0348-00'!FiscalYear-1&amp;" VAR BENEFITS"</f>
        <v>FY 2023 VAR BENEFITS</v>
      </c>
      <c r="J8" s="50" t="str">
        <f>"FY "&amp;'GVEA|0348-00'!FiscalYear-1&amp;" TOTAL"</f>
        <v>FY 2023 TOTAL</v>
      </c>
      <c r="K8" s="50" t="str">
        <f>"FY "&amp;'GVEA|0348-00'!FiscalYear&amp;" SALARY CHANGE"</f>
        <v>FY 2024 SALARY CHANGE</v>
      </c>
      <c r="L8" s="50" t="str">
        <f>"FY "&amp;'GVEA|0348-00'!FiscalYear&amp;" CHG HEALTH BENEFITS"</f>
        <v>FY 2024 CHG HEALTH BENEFITS</v>
      </c>
      <c r="M8" s="50" t="str">
        <f>"FY "&amp;'GVEA|0348-00'!FiscalYear&amp;"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[0]!GVEA034800col_INC_FTI</f>
        <v>5.9</v>
      </c>
      <c r="G10" s="218">
        <f>[0]!GVEA034800col_FTI_SALARY_PERM</f>
        <v>377241.28</v>
      </c>
      <c r="H10" s="218">
        <f>[0]!GVEA034800col_HEALTH_PERM</f>
        <v>73750</v>
      </c>
      <c r="I10" s="218">
        <f>[0]!GVEA034800col_TOT_VB_PERM</f>
        <v>77979.544988800015</v>
      </c>
      <c r="J10" s="219">
        <f>SUM(G10:I10)</f>
        <v>528970.8249888001</v>
      </c>
      <c r="K10" s="219">
        <f>[0]!GVEA034800col_1_27TH_PP</f>
        <v>0</v>
      </c>
      <c r="L10" s="218">
        <f>[0]!GVEA034800col_HEALTH_PERM_CHG</f>
        <v>7375</v>
      </c>
      <c r="M10" s="218">
        <f>[0]!GVEA034800col_TOT_VB_PERM_CHG</f>
        <v>-3319.7232640000038</v>
      </c>
      <c r="N10" s="218">
        <f>SUM(L10:M10)</f>
        <v>4055.2767359999962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3800</v>
      </c>
      <c r="AB10" s="335">
        <f>ROUND(PermVarBen*CECPerm+(CECPerm*PermVarBenChg),-2)</f>
        <v>700</v>
      </c>
      <c r="AC10" s="335">
        <f>SUM(AA10:AB10)</f>
        <v>4500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[0]!GVEA034800col_Group_Salary</f>
        <v>5152</v>
      </c>
      <c r="H11" s="218">
        <v>0</v>
      </c>
      <c r="I11" s="218">
        <f>[0]!GVEA034800col_Group_Ben</f>
        <v>3494.18</v>
      </c>
      <c r="J11" s="219">
        <f>SUM(G11:I11)</f>
        <v>8646.18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[0]!GVEA034800col_TOTAL_ELECT_PCN_FTI</f>
        <v>0</v>
      </c>
      <c r="G12" s="218">
        <f>[0]!GVEA034800col_FTI_SALARY_ELECT</f>
        <v>0</v>
      </c>
      <c r="H12" s="218">
        <f>[0]!GVEA034800col_HEALTH_ELECT</f>
        <v>0</v>
      </c>
      <c r="I12" s="218">
        <f>[0]!GVEA034800col_TOT_VB_ELECT</f>
        <v>0</v>
      </c>
      <c r="J12" s="219">
        <f>SUM(G12:I12)</f>
        <v>0</v>
      </c>
      <c r="K12" s="268"/>
      <c r="L12" s="218">
        <f>[0]!GVEA034800col_HEALTH_ELECT_CHG</f>
        <v>0</v>
      </c>
      <c r="M12" s="218">
        <f>[0]!GVEA034800col_TOT_VB_ELECT_CHG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5.9</v>
      </c>
      <c r="G13" s="221">
        <f>SUM(G10:G12)</f>
        <v>382393.28</v>
      </c>
      <c r="H13" s="221">
        <f>SUM(H10:H12)</f>
        <v>73750</v>
      </c>
      <c r="I13" s="221">
        <f>SUM(I10:I12)</f>
        <v>81473.724988800008</v>
      </c>
      <c r="J13" s="219">
        <f>SUM(G13:I13)</f>
        <v>537617.00498880004</v>
      </c>
      <c r="K13" s="268"/>
      <c r="L13" s="219">
        <f>SUM(L10:L12)</f>
        <v>7375</v>
      </c>
      <c r="M13" s="219">
        <f>SUM(M10:M12)</f>
        <v>-3319.7232640000038</v>
      </c>
      <c r="N13" s="219">
        <f>SUM(N10:N12)</f>
        <v>4055.2767359999962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"&amp;'GVEA|0348-00'!FiscalYear-1</f>
        <v>FY 2023</v>
      </c>
      <c r="D15" s="158" t="s">
        <v>31</v>
      </c>
      <c r="E15" s="355">
        <v>676200</v>
      </c>
      <c r="F15" s="55">
        <v>7.3</v>
      </c>
      <c r="G15" s="223">
        <f>IF(OrigApprop=0,0,(G13/$J$13)*OrigApprop)</f>
        <v>480963.83398696029</v>
      </c>
      <c r="H15" s="223">
        <f>IF(OrigApprop=0,0,(H13/$J$13)*OrigApprop)</f>
        <v>92760.737731945293</v>
      </c>
      <c r="I15" s="223">
        <f>IF(G15=0,0,(I13/$J$13)*OrigApprop)</f>
        <v>102475.42828109443</v>
      </c>
      <c r="J15" s="223">
        <f>SUM(G15:I15)</f>
        <v>676200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1.3999999999999995</v>
      </c>
      <c r="G16" s="162">
        <f>G15-G13</f>
        <v>98570.553986960265</v>
      </c>
      <c r="H16" s="162">
        <f>H15-H13</f>
        <v>19010.737731945293</v>
      </c>
      <c r="I16" s="162">
        <f>I15-I13</f>
        <v>21001.70329229442</v>
      </c>
      <c r="J16" s="162">
        <f>J15-J13</f>
        <v>138582.99501119996</v>
      </c>
      <c r="K16" s="269"/>
      <c r="L16" s="56" t="str">
        <f>IF('GVEA|0348-00'!OrigApprop=0,"No Original Appropriation amount in DU 3.00 for this fund","Calculated "&amp;IF('GVEA|0348-00'!AdjustedTotal&gt;0,"overfunding ","underfunding ")&amp;"is "&amp;TEXT('GVEA|0348-00'!AdjustedTotal/'GVEA|0348-00'!AppropTotal,"#.0%;(#.0% );0% ;")&amp;" of Original Appropriation")</f>
        <v>Calculated overfunding is 20.5%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5.9</v>
      </c>
      <c r="G38" s="191">
        <f>SUMIF($E10:$E35,$E38,$G10:$G35)</f>
        <v>377241.28</v>
      </c>
      <c r="H38" s="192">
        <f>SUMIF($E10:$E35,$E38,$H10:$H35)</f>
        <v>73750</v>
      </c>
      <c r="I38" s="192">
        <f>SUMIF($E10:$E35,$E38,$I10:$I35)</f>
        <v>77979.544988800015</v>
      </c>
      <c r="J38" s="192">
        <f>SUM(G38:I38)</f>
        <v>528970.8249888001</v>
      </c>
      <c r="K38" s="166"/>
      <c r="L38" s="191">
        <f>SUMIF($E10:$E35,$E38,$L10:$L35)</f>
        <v>7375</v>
      </c>
      <c r="M38" s="192">
        <f>SUMIF($E10:$E35,$E38,$M10:$M35)</f>
        <v>-3319.7232640000038</v>
      </c>
      <c r="N38" s="192">
        <f>SUM(L38:M38)</f>
        <v>4055.2767359999962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3800</v>
      </c>
      <c r="AB38" s="338">
        <f>ROUND((AdjPermVB*CECPerm+AdjPermVBBY*CECPerm),-2)</f>
        <v>700</v>
      </c>
      <c r="AC38" s="338">
        <f>SUM(AA38:AB38)</f>
        <v>4500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5152</v>
      </c>
      <c r="H39" s="152">
        <f>SUMIF($E10:$E35,$E39,$H10:$H35)</f>
        <v>0</v>
      </c>
      <c r="I39" s="152">
        <f>SUMIF($E10:$E35,$E39,$I10:$I35)</f>
        <v>3494.18</v>
      </c>
      <c r="J39" s="152">
        <f>SUM(G39:I39)</f>
        <v>8646.18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5.9</v>
      </c>
      <c r="G41" s="195">
        <f>SUM($G$38:$G$40)</f>
        <v>382393.28</v>
      </c>
      <c r="H41" s="162">
        <f>SUM($H$38:$H$40)</f>
        <v>73750</v>
      </c>
      <c r="I41" s="162">
        <f>SUM($I$38:$I$40)</f>
        <v>81473.724988800008</v>
      </c>
      <c r="J41" s="162">
        <f>SUM($J$38:$J$40)</f>
        <v>537617.00498880015</v>
      </c>
      <c r="K41" s="259"/>
      <c r="L41" s="195">
        <f>SUM($L$38:$L$40)</f>
        <v>7375</v>
      </c>
      <c r="M41" s="162">
        <f>SUM($M$38:$M$40)</f>
        <v>-3319.7232640000038</v>
      </c>
      <c r="N41" s="162">
        <f>SUM(L41:M41)</f>
        <v>4055.2767359999962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1.4</v>
      </c>
      <c r="G43" s="206">
        <f>G51-G41</f>
        <v>98570.553986960207</v>
      </c>
      <c r="H43" s="159">
        <f>H51-H41</f>
        <v>19010.737731945279</v>
      </c>
      <c r="I43" s="159">
        <f>I51-I41</f>
        <v>21001.703292294391</v>
      </c>
      <c r="J43" s="159">
        <f>SUM(G43:I43)</f>
        <v>138582.99501119988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20.5%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1.4</v>
      </c>
      <c r="G44" s="206">
        <f>G60-G41</f>
        <v>98606.719999999972</v>
      </c>
      <c r="H44" s="159">
        <f>H60-H41</f>
        <v>19050</v>
      </c>
      <c r="I44" s="159">
        <f>I60-I41</f>
        <v>21026.275011199992</v>
      </c>
      <c r="J44" s="159">
        <f>SUM(G44:I44)</f>
        <v>138682.99501119996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20.5%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1.4</v>
      </c>
      <c r="G45" s="206">
        <f>G67-G41-G63</f>
        <v>98606.719999999972</v>
      </c>
      <c r="H45" s="206">
        <f>H67-H41-H63</f>
        <v>19050</v>
      </c>
      <c r="I45" s="206">
        <f>I67-I41-I63</f>
        <v>21026.275011199992</v>
      </c>
      <c r="J45" s="159">
        <f>SUM(G45:I45)</f>
        <v>138682.99501119996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20.5%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676200</v>
      </c>
      <c r="F51" s="272">
        <f>AppropFTP</f>
        <v>7.3</v>
      </c>
      <c r="G51" s="274">
        <f>IF(E51=0,0,(G41/$J$41)*$E$51)</f>
        <v>480963.83398696024</v>
      </c>
      <c r="H51" s="274">
        <f>IF(E51=0,0,(H41/$J$41)*$E$51)</f>
        <v>92760.737731945279</v>
      </c>
      <c r="I51" s="275">
        <f>IF(E51=0,0,(I41/$J$41)*$E$51)</f>
        <v>102475.4282810944</v>
      </c>
      <c r="J51" s="90">
        <f>SUM(G51:I51)</f>
        <v>676199.99999999988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7.3</v>
      </c>
      <c r="G52" s="79">
        <f>ROUND(G51,-2)</f>
        <v>481000</v>
      </c>
      <c r="H52" s="79">
        <f>ROUND(H51,-2)</f>
        <v>92800</v>
      </c>
      <c r="I52" s="266">
        <f>ROUND(I51,-2)</f>
        <v>102500</v>
      </c>
      <c r="J52" s="80">
        <f>ROUND(J51,-2)</f>
        <v>676200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7.3</v>
      </c>
      <c r="G56" s="80">
        <f>SUM(G52:G55)</f>
        <v>481000</v>
      </c>
      <c r="H56" s="80">
        <f>SUM(H52:H55)</f>
        <v>92800</v>
      </c>
      <c r="I56" s="260">
        <f>SUM(I52:I55)</f>
        <v>102500</v>
      </c>
      <c r="J56" s="80">
        <f>SUM(J52:J55)</f>
        <v>676200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7.3</v>
      </c>
      <c r="G60" s="80">
        <f>SUM(G56:G59)</f>
        <v>481000</v>
      </c>
      <c r="H60" s="80">
        <f>SUM(H56:H59)</f>
        <v>92800</v>
      </c>
      <c r="I60" s="260">
        <f>SUM(I56:I59)</f>
        <v>102500</v>
      </c>
      <c r="J60" s="80">
        <f>SUM(J56:J59)</f>
        <v>676200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7.3</v>
      </c>
      <c r="G67" s="80">
        <f>SUM(G60:G64)</f>
        <v>481000</v>
      </c>
      <c r="H67" s="80">
        <f>SUM(H60:H64)</f>
        <v>92800</v>
      </c>
      <c r="I67" s="80">
        <f>SUM(I60:I64)</f>
        <v>102500</v>
      </c>
      <c r="J67" s="80">
        <f>SUM(J60:J64)</f>
        <v>676200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7400</v>
      </c>
      <c r="I68" s="113"/>
      <c r="J68" s="287">
        <f>SUM(G68:I68)</f>
        <v>7400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-3300</v>
      </c>
      <c r="J69" s="287">
        <f>SUM(G69:I69)</f>
        <v>-3300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3800</v>
      </c>
      <c r="H72" s="287"/>
      <c r="I72" s="287">
        <f>ROUND(($G72*PermVBBY+$G72*Retire1BY),-2)</f>
        <v>800</v>
      </c>
      <c r="J72" s="113">
        <f>SUM(G72:I72)</f>
        <v>4600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7.3</v>
      </c>
      <c r="G75" s="80">
        <f>SUM(G67:G74)</f>
        <v>484900</v>
      </c>
      <c r="H75" s="80">
        <f>SUM(H67:H74)</f>
        <v>100200</v>
      </c>
      <c r="I75" s="80">
        <f>SUM(I67:I74)</f>
        <v>100000</v>
      </c>
      <c r="J75" s="80">
        <f>SUM(J67:K74)</f>
        <v>685000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7.3</v>
      </c>
      <c r="G80" s="80">
        <f>SUM(G75:G79)</f>
        <v>484900</v>
      </c>
      <c r="H80" s="80">
        <f>SUM(H75:H79)</f>
        <v>100200</v>
      </c>
      <c r="I80" s="80">
        <f>SUM(I75:I79)</f>
        <v>100000</v>
      </c>
      <c r="J80" s="80">
        <f>SUM(J75:J79)</f>
        <v>685000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4" priority="8">
      <formula>$J$44&lt;0</formula>
    </cfRule>
  </conditionalFormatting>
  <conditionalFormatting sqref="K43">
    <cfRule type="expression" dxfId="43" priority="7">
      <formula>$J$43&lt;0</formula>
    </cfRule>
  </conditionalFormatting>
  <conditionalFormatting sqref="L16">
    <cfRule type="expression" dxfId="42" priority="6">
      <formula>$J$16&lt;0</formula>
    </cfRule>
  </conditionalFormatting>
  <conditionalFormatting sqref="K45">
    <cfRule type="expression" dxfId="41" priority="5">
      <formula>$J$44&lt;0</formula>
    </cfRule>
  </conditionalFormatting>
  <conditionalFormatting sqref="K43:N45">
    <cfRule type="containsText" dxfId="40" priority="4" operator="containsText" text="underfunding">
      <formula>NOT(ISERROR(SEARCH("underfunding",K43)))</formula>
    </cfRule>
  </conditionalFormatting>
  <conditionalFormatting sqref="K44">
    <cfRule type="expression" dxfId="39" priority="3">
      <formula>$J$44&lt;0</formula>
    </cfRule>
  </conditionalFormatting>
  <conditionalFormatting sqref="K45">
    <cfRule type="expression" dxfId="38" priority="2">
      <formula>$J$44&lt;0</formula>
    </cfRule>
  </conditionalFormatting>
  <conditionalFormatting sqref="K45">
    <cfRule type="expression" dxfId="3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791165-A595-4B32-ACCF-03CCBF08C65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2F73-3FDA-4F09-98C3-96990D28C15E}">
  <sheetPr codeName="Sheet8"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295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199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296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311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296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309</v>
      </c>
      <c r="J5" s="412"/>
      <c r="K5" s="412"/>
      <c r="L5" s="411"/>
      <c r="M5" s="352" t="s">
        <v>113</v>
      </c>
      <c r="N5" s="32" t="s">
        <v>310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"&amp;'GVEA|0349-00'!FiscalYear-1&amp;" SALARY"</f>
        <v>FY 2023 SALARY</v>
      </c>
      <c r="H8" s="50" t="str">
        <f>"FY "&amp;'GVEA|0349-00'!FiscalYear-1&amp;" HEALTH BENEFITS"</f>
        <v>FY 2023 HEALTH BENEFITS</v>
      </c>
      <c r="I8" s="50" t="str">
        <f>"FY "&amp;'GVEA|0349-00'!FiscalYear-1&amp;" VAR BENEFITS"</f>
        <v>FY 2023 VAR BENEFITS</v>
      </c>
      <c r="J8" s="50" t="str">
        <f>"FY "&amp;'GVEA|0349-00'!FiscalYear-1&amp;" TOTAL"</f>
        <v>FY 2023 TOTAL</v>
      </c>
      <c r="K8" s="50" t="str">
        <f>"FY "&amp;'GVEA|0349-00'!FiscalYear&amp;" SALARY CHANGE"</f>
        <v>FY 2024 SALARY CHANGE</v>
      </c>
      <c r="L8" s="50" t="str">
        <f>"FY "&amp;'GVEA|0349-00'!FiscalYear&amp;" CHG HEALTH BENEFITS"</f>
        <v>FY 2024 CHG HEALTH BENEFITS</v>
      </c>
      <c r="M8" s="50" t="str">
        <f>"FY "&amp;'GVEA|0349-00'!FiscalYear&amp;"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[0]!GVEA034900col_INC_FTI</f>
        <v>0</v>
      </c>
      <c r="G10" s="218">
        <f>[0]!GVEA034900col_FTI_SALARY_PERM</f>
        <v>0</v>
      </c>
      <c r="H10" s="218">
        <f>[0]!GVEA034900col_HEALTH_PERM</f>
        <v>0</v>
      </c>
      <c r="I10" s="218">
        <f>[0]!GVEA034900col_TOT_VB_PERM</f>
        <v>0</v>
      </c>
      <c r="J10" s="219">
        <f>SUM(G10:I10)</f>
        <v>0</v>
      </c>
      <c r="K10" s="219">
        <f>[0]!GVEA034900col_1_27TH_PP</f>
        <v>0</v>
      </c>
      <c r="L10" s="218">
        <f>[0]!GVEA034900col_HEALTH_PERM_CHG</f>
        <v>0</v>
      </c>
      <c r="M10" s="218">
        <f>[0]!GVEA034900col_TOT_VB_PERM_CHG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[0]!GVEA034900col_Group_Salary</f>
        <v>0</v>
      </c>
      <c r="H11" s="218">
        <v>0</v>
      </c>
      <c r="I11" s="218">
        <f>[0]!GVEA034900col_Group_Ben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[0]!GVEA034900col_TOTAL_ELECT_PCN_FTI</f>
        <v>0</v>
      </c>
      <c r="G12" s="218">
        <f>[0]!GVEA034900col_FTI_SALARY_ELECT</f>
        <v>0</v>
      </c>
      <c r="H12" s="218">
        <f>[0]!GVEA034900col_HEALTH_ELECT</f>
        <v>0</v>
      </c>
      <c r="I12" s="218">
        <f>[0]!GVEA034900col_TOT_VB_ELECT</f>
        <v>0</v>
      </c>
      <c r="J12" s="219">
        <f>SUM(G12:I12)</f>
        <v>0</v>
      </c>
      <c r="K12" s="268"/>
      <c r="L12" s="218">
        <f>[0]!GVEA034900col_HEALTH_ELECT_CHG</f>
        <v>0</v>
      </c>
      <c r="M12" s="218">
        <f>[0]!GVEA034900col_TOT_VB_ELECT_CHG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"&amp;'GVEA|0349-00'!FiscalYear-1</f>
        <v>FY 2023</v>
      </c>
      <c r="D15" s="158" t="s">
        <v>31</v>
      </c>
      <c r="E15" s="355">
        <v>10100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IF('GVEA|0349-00'!OrigApprop=0,"No Original Appropriation amount in DU 3.00 for this fund","Calculated "&amp;IF('GVEA|0349-00'!AdjustedTotal&gt;0,"overfunding ","underfunding ")&amp;"is "&amp;TEXT('GVEA|0349-00'!AdjustedTotal/'GVEA|0349-00'!AppropTotal,"#.0%;(#.0%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 t="e">
        <f>G51-G41</f>
        <v>#DIV/0!</v>
      </c>
      <c r="H43" s="159" t="e">
        <f>H51-H41</f>
        <v>#DIV/0!</v>
      </c>
      <c r="I43" s="159" t="e">
        <f>I51-I41</f>
        <v>#DIV/0!</v>
      </c>
      <c r="J43" s="159" t="e">
        <f>SUM(G43:I43)</f>
        <v>#DIV/0!</v>
      </c>
      <c r="K43" s="419" t="e">
        <f>IF(E51=0,"No Original Appropriation amount in DU 3.00 for this fund","Calculated "&amp;IF(J43&gt;0,"overfunding ","underfunding ")&amp;"is "&amp;TEXT(J43/J51,"#.0%;(#.0% );0%;")&amp;" of Original Appropriation")</f>
        <v>#DIV/0!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 t="e">
        <f>G60-G41</f>
        <v>#DIV/0!</v>
      </c>
      <c r="H44" s="159" t="e">
        <f>H60-H41</f>
        <v>#DIV/0!</v>
      </c>
      <c r="I44" s="159" t="e">
        <f>I60-I41</f>
        <v>#DIV/0!</v>
      </c>
      <c r="J44" s="159" t="e">
        <f>SUM(G44:I44)</f>
        <v>#DIV/0!</v>
      </c>
      <c r="K44" s="419" t="e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#DIV/0!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 t="e">
        <f>G67-G41-G63</f>
        <v>#DIV/0!</v>
      </c>
      <c r="H45" s="206" t="e">
        <f>H67-H41-H63</f>
        <v>#DIV/0!</v>
      </c>
      <c r="I45" s="206" t="e">
        <f>I67-I41-I63</f>
        <v>#DIV/0!</v>
      </c>
      <c r="J45" s="159" t="e">
        <f>SUM(G45:I45)</f>
        <v>#DIV/0!</v>
      </c>
      <c r="K45" s="419" t="e">
        <f>IF(J67=0,"This fund has a $0 Base in DU 9.00",IF(J67=0,"ERROR! Verify/enter 8 series adjustments!","Calculated "&amp;IF(J45&gt;0,"overfunding ","underfunding ")&amp;"is "&amp;TEXT(J45/J67,"#.0%;(#.0% );0%;")&amp;" of the Base"))</f>
        <v>#DIV/0!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10100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6" priority="8">
      <formula>$J$44&lt;0</formula>
    </cfRule>
  </conditionalFormatting>
  <conditionalFormatting sqref="K43">
    <cfRule type="expression" dxfId="35" priority="7">
      <formula>$J$43&lt;0</formula>
    </cfRule>
  </conditionalFormatting>
  <conditionalFormatting sqref="L16">
    <cfRule type="expression" dxfId="34" priority="6">
      <formula>$J$16&lt;0</formula>
    </cfRule>
  </conditionalFormatting>
  <conditionalFormatting sqref="K45">
    <cfRule type="expression" dxfId="33" priority="5">
      <formula>$J$44&lt;0</formula>
    </cfRule>
  </conditionalFormatting>
  <conditionalFormatting sqref="K43:N45">
    <cfRule type="containsText" dxfId="32" priority="4" operator="containsText" text="underfunding">
      <formula>NOT(ISERROR(SEARCH("underfunding",K43)))</formula>
    </cfRule>
  </conditionalFormatting>
  <conditionalFormatting sqref="K44">
    <cfRule type="expression" dxfId="31" priority="3">
      <formula>$J$44&lt;0</formula>
    </cfRule>
  </conditionalFormatting>
  <conditionalFormatting sqref="K45">
    <cfRule type="expression" dxfId="30" priority="2">
      <formula>$J$44&lt;0</formula>
    </cfRule>
  </conditionalFormatting>
  <conditionalFormatting sqref="K45">
    <cfRule type="expression" dxfId="2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0C0D47-4578-46A4-8D1D-79E30E32DE1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F98A-6B54-424F-8D7B-D2EDA1366982}">
  <sheetPr codeName="Sheet9"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295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199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296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318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296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316</v>
      </c>
      <c r="J5" s="412"/>
      <c r="K5" s="412"/>
      <c r="L5" s="411"/>
      <c r="M5" s="352" t="s">
        <v>113</v>
      </c>
      <c r="N5" s="32" t="s">
        <v>317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"&amp;'GVEA|0494-00'!FiscalYear-1&amp;" SALARY"</f>
        <v>FY 2023 SALARY</v>
      </c>
      <c r="H8" s="50" t="str">
        <f>"FY "&amp;'GVEA|0494-00'!FiscalYear-1&amp;" HEALTH BENEFITS"</f>
        <v>FY 2023 HEALTH BENEFITS</v>
      </c>
      <c r="I8" s="50" t="str">
        <f>"FY "&amp;'GVEA|0494-00'!FiscalYear-1&amp;" VAR BENEFITS"</f>
        <v>FY 2023 VAR BENEFITS</v>
      </c>
      <c r="J8" s="50" t="str">
        <f>"FY "&amp;'GVEA|0494-00'!FiscalYear-1&amp;" TOTAL"</f>
        <v>FY 2023 TOTAL</v>
      </c>
      <c r="K8" s="50" t="str">
        <f>"FY "&amp;'GVEA|0494-00'!FiscalYear&amp;" SALARY CHANGE"</f>
        <v>FY 2024 SALARY CHANGE</v>
      </c>
      <c r="L8" s="50" t="str">
        <f>"FY "&amp;'GVEA|0494-00'!FiscalYear&amp;" CHG HEALTH BENEFITS"</f>
        <v>FY 2024 CHG HEALTH BENEFITS</v>
      </c>
      <c r="M8" s="50" t="str">
        <f>"FY "&amp;'GVEA|0494-00'!FiscalYear&amp;"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[0]!GVEA049400col_INC_FTI</f>
        <v>0.5</v>
      </c>
      <c r="G10" s="218">
        <f>[0]!GVEA049400col_FTI_SALARY_PERM</f>
        <v>36649.599999999999</v>
      </c>
      <c r="H10" s="218">
        <f>[0]!GVEA049400col_HEALTH_PERM</f>
        <v>6250</v>
      </c>
      <c r="I10" s="218">
        <f>[0]!GVEA049400col_TOT_VB_PERM</f>
        <v>7575.8388159999995</v>
      </c>
      <c r="J10" s="219">
        <f>SUM(G10:I10)</f>
        <v>50475.438815999994</v>
      </c>
      <c r="K10" s="219">
        <f>[0]!GVEA049400col_1_27TH_PP</f>
        <v>0</v>
      </c>
      <c r="L10" s="218">
        <f>[0]!GVEA049400col_HEALTH_PERM_CHG</f>
        <v>625</v>
      </c>
      <c r="M10" s="218">
        <f>[0]!GVEA049400col_TOT_VB_PERM_CHG</f>
        <v>-322.51648000000034</v>
      </c>
      <c r="N10" s="218">
        <f>SUM(L10:M10)</f>
        <v>302.48351999999966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400</v>
      </c>
      <c r="AB10" s="335">
        <f>ROUND(PermVarBen*CECPerm+(CECPerm*PermVarBenChg),-2)</f>
        <v>100</v>
      </c>
      <c r="AC10" s="335">
        <f>SUM(AA10:AB10)</f>
        <v>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[0]!GVEA049400col_Group_Salary</f>
        <v>10028</v>
      </c>
      <c r="H11" s="218">
        <v>0</v>
      </c>
      <c r="I11" s="218">
        <f>[0]!GVEA049400col_Group_Ben</f>
        <v>4120.7299999999996</v>
      </c>
      <c r="J11" s="219">
        <f>SUM(G11:I11)</f>
        <v>14148.73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[0]!GVEA049400col_TOTAL_ELECT_PCN_FTI</f>
        <v>0</v>
      </c>
      <c r="G12" s="218">
        <f>[0]!GVEA049400col_FTI_SALARY_ELECT</f>
        <v>0</v>
      </c>
      <c r="H12" s="218">
        <f>[0]!GVEA049400col_HEALTH_ELECT</f>
        <v>0</v>
      </c>
      <c r="I12" s="218">
        <f>[0]!GVEA049400col_TOT_VB_ELECT</f>
        <v>0</v>
      </c>
      <c r="J12" s="219">
        <f>SUM(G12:I12)</f>
        <v>0</v>
      </c>
      <c r="K12" s="268"/>
      <c r="L12" s="218">
        <f>[0]!GVEA049400col_HEALTH_ELECT_CHG</f>
        <v>0</v>
      </c>
      <c r="M12" s="218">
        <f>[0]!GVEA049400col_TOT_VB_ELECT_CHG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0.5</v>
      </c>
      <c r="G13" s="221">
        <f>SUM(G10:G12)</f>
        <v>46677.599999999999</v>
      </c>
      <c r="H13" s="221">
        <f>SUM(H10:H12)</f>
        <v>6250</v>
      </c>
      <c r="I13" s="221">
        <f>SUM(I10:I12)</f>
        <v>11696.568815999999</v>
      </c>
      <c r="J13" s="219">
        <f>SUM(G13:I13)</f>
        <v>64624.168815999998</v>
      </c>
      <c r="K13" s="268"/>
      <c r="L13" s="219">
        <f>SUM(L10:L12)</f>
        <v>625</v>
      </c>
      <c r="M13" s="219">
        <f>SUM(M10:M12)</f>
        <v>-322.51648000000034</v>
      </c>
      <c r="N13" s="219">
        <f>SUM(N10:N12)</f>
        <v>302.48351999999966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"&amp;'GVEA|0494-00'!FiscalYear-1</f>
        <v>FY 2023</v>
      </c>
      <c r="D15" s="158" t="s">
        <v>31</v>
      </c>
      <c r="E15" s="355">
        <v>259300</v>
      </c>
      <c r="F15" s="55">
        <v>1</v>
      </c>
      <c r="G15" s="223">
        <f>IF(OrigApprop=0,0,(G13/$J$13)*OrigApprop)</f>
        <v>187290.63602290154</v>
      </c>
      <c r="H15" s="223">
        <f>IF(OrigApprop=0,0,(H13/$J$13)*OrigApprop)</f>
        <v>25077.691979517684</v>
      </c>
      <c r="I15" s="223">
        <f>IF(G15=0,0,(I13/$J$13)*OrigApprop)</f>
        <v>46931.671997580772</v>
      </c>
      <c r="J15" s="223">
        <f>SUM(G15:I15)</f>
        <v>259300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0.5</v>
      </c>
      <c r="G16" s="162">
        <f>G15-G13</f>
        <v>140613.03602290154</v>
      </c>
      <c r="H16" s="162">
        <f>H15-H13</f>
        <v>18827.691979517684</v>
      </c>
      <c r="I16" s="162">
        <f>I15-I13</f>
        <v>35235.103181580773</v>
      </c>
      <c r="J16" s="162">
        <f>J15-J13</f>
        <v>194675.83118400001</v>
      </c>
      <c r="K16" s="269"/>
      <c r="L16" s="56" t="str">
        <f>IF('GVEA|0494-00'!OrigApprop=0,"No Original Appropriation amount in DU 3.00 for this fund","Calculated "&amp;IF('GVEA|0494-00'!AdjustedTotal&gt;0,"overfunding ","underfunding ")&amp;"is "&amp;TEXT('GVEA|0494-00'!AdjustedTotal/'GVEA|0494-00'!AppropTotal,"#.0%;(#.0% );0% ;")&amp;" of Original Appropriation")</f>
        <v>Calculated overfunding is 75.1%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0.5</v>
      </c>
      <c r="G38" s="191">
        <f>SUMIF($E10:$E35,$E38,$G10:$G35)</f>
        <v>36649.599999999999</v>
      </c>
      <c r="H38" s="192">
        <f>SUMIF($E10:$E35,$E38,$H10:$H35)</f>
        <v>6250</v>
      </c>
      <c r="I38" s="192">
        <f>SUMIF($E10:$E35,$E38,$I10:$I35)</f>
        <v>7575.8388159999995</v>
      </c>
      <c r="J38" s="192">
        <f>SUM(G38:I38)</f>
        <v>50475.438815999994</v>
      </c>
      <c r="K38" s="166"/>
      <c r="L38" s="191">
        <f>SUMIF($E10:$E35,$E38,$L10:$L35)</f>
        <v>625</v>
      </c>
      <c r="M38" s="192">
        <f>SUMIF($E10:$E35,$E38,$M10:$M35)</f>
        <v>-322.51648000000034</v>
      </c>
      <c r="N38" s="192">
        <f>SUM(L38:M38)</f>
        <v>302.48351999999966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400</v>
      </c>
      <c r="AB38" s="338">
        <f>ROUND((AdjPermVB*CECPerm+AdjPermVBBY*CECPerm),-2)</f>
        <v>100</v>
      </c>
      <c r="AC38" s="338">
        <f>SUM(AA38:AB38)</f>
        <v>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10028</v>
      </c>
      <c r="H39" s="152">
        <f>SUMIF($E10:$E35,$E39,$H10:$H35)</f>
        <v>0</v>
      </c>
      <c r="I39" s="152">
        <f>SUMIF($E10:$E35,$E39,$I10:$I35)</f>
        <v>4120.7299999999996</v>
      </c>
      <c r="J39" s="152">
        <f>SUM(G39:I39)</f>
        <v>14148.73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0.5</v>
      </c>
      <c r="G41" s="195">
        <f>SUM($G$38:$G$40)</f>
        <v>46677.599999999999</v>
      </c>
      <c r="H41" s="162">
        <f>SUM($H$38:$H$40)</f>
        <v>6250</v>
      </c>
      <c r="I41" s="162">
        <f>SUM($I$38:$I$40)</f>
        <v>11696.568815999999</v>
      </c>
      <c r="J41" s="162">
        <f>SUM($J$38:$J$40)</f>
        <v>64624.16881599999</v>
      </c>
      <c r="K41" s="259"/>
      <c r="L41" s="195">
        <f>SUM($L$38:$L$40)</f>
        <v>625</v>
      </c>
      <c r="M41" s="162">
        <f>SUM($M$38:$M$40)</f>
        <v>-322.51648000000034</v>
      </c>
      <c r="N41" s="162">
        <f>SUM(L41:M41)</f>
        <v>302.48351999999966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0.5</v>
      </c>
      <c r="G43" s="206">
        <f>G51-G41</f>
        <v>140613.03602290156</v>
      </c>
      <c r="H43" s="159">
        <f>H51-H41</f>
        <v>18827.691979517687</v>
      </c>
      <c r="I43" s="159">
        <f>I51-I41</f>
        <v>35235.10318158078</v>
      </c>
      <c r="J43" s="159">
        <f>SUM(G43:I43)</f>
        <v>194675.83118400004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75.1%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0.5</v>
      </c>
      <c r="G44" s="206">
        <f>G60-G41</f>
        <v>140622.39999999999</v>
      </c>
      <c r="H44" s="159">
        <f>H60-H41</f>
        <v>18850</v>
      </c>
      <c r="I44" s="159">
        <f>I60-I41</f>
        <v>35203.431184000001</v>
      </c>
      <c r="J44" s="159">
        <f>SUM(G44:I44)</f>
        <v>194675.83118400001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75.1%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0.5</v>
      </c>
      <c r="G45" s="206">
        <f>G67-G41-G63</f>
        <v>140622.39999999999</v>
      </c>
      <c r="H45" s="206">
        <f>H67-H41-H63</f>
        <v>18850</v>
      </c>
      <c r="I45" s="206">
        <f>I67-I41-I63</f>
        <v>35203.431184000001</v>
      </c>
      <c r="J45" s="159">
        <f>SUM(G45:I45)</f>
        <v>194675.83118400001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75.1%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259300</v>
      </c>
      <c r="F51" s="272">
        <f>AppropFTP</f>
        <v>1</v>
      </c>
      <c r="G51" s="274">
        <f>IF(E51=0,0,(G41/$J$41)*$E$51)</f>
        <v>187290.63602290157</v>
      </c>
      <c r="H51" s="274">
        <f>IF(E51=0,0,(H41/$J$41)*$E$51)</f>
        <v>25077.691979517687</v>
      </c>
      <c r="I51" s="275">
        <f>IF(E51=0,0,(I41/$J$41)*$E$51)</f>
        <v>46931.671997580779</v>
      </c>
      <c r="J51" s="90">
        <f>SUM(G51:I51)</f>
        <v>259300.00000000006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187300</v>
      </c>
      <c r="H52" s="79">
        <f>ROUND(H51,-2)</f>
        <v>25100</v>
      </c>
      <c r="I52" s="266">
        <f>ROUND(I51,-2)</f>
        <v>46900</v>
      </c>
      <c r="J52" s="80">
        <f>ROUND(J51,-2)</f>
        <v>259300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</v>
      </c>
      <c r="G56" s="80">
        <f>SUM(G52:G55)</f>
        <v>187300</v>
      </c>
      <c r="H56" s="80">
        <f>SUM(H52:H55)</f>
        <v>25100</v>
      </c>
      <c r="I56" s="260">
        <f>SUM(I52:I55)</f>
        <v>46900</v>
      </c>
      <c r="J56" s="80">
        <f>SUM(J52:J55)</f>
        <v>259300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</v>
      </c>
      <c r="G60" s="80">
        <f>SUM(G56:G59)</f>
        <v>187300</v>
      </c>
      <c r="H60" s="80">
        <f>SUM(H56:H59)</f>
        <v>25100</v>
      </c>
      <c r="I60" s="260">
        <f>SUM(I56:I59)</f>
        <v>46900</v>
      </c>
      <c r="J60" s="80">
        <f>SUM(J56:J59)</f>
        <v>259300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</v>
      </c>
      <c r="G67" s="80">
        <f>SUM(G60:G64)</f>
        <v>187300</v>
      </c>
      <c r="H67" s="80">
        <f>SUM(H60:H64)</f>
        <v>25100</v>
      </c>
      <c r="I67" s="80">
        <f>SUM(I60:I64)</f>
        <v>46900</v>
      </c>
      <c r="J67" s="80">
        <f>SUM(J60:J64)</f>
        <v>259300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600</v>
      </c>
      <c r="I68" s="113"/>
      <c r="J68" s="287">
        <f>SUM(G68:I68)</f>
        <v>600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-300</v>
      </c>
      <c r="J69" s="287">
        <f>SUM(G69:I69)</f>
        <v>-300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400</v>
      </c>
      <c r="H72" s="287"/>
      <c r="I72" s="287">
        <f>ROUND(($G72*PermVBBY+$G72*Retire1BY),-2)</f>
        <v>100</v>
      </c>
      <c r="J72" s="113">
        <f>SUM(G72:I72)</f>
        <v>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</v>
      </c>
      <c r="G75" s="80">
        <f>SUM(G67:G74)</f>
        <v>187800</v>
      </c>
      <c r="H75" s="80">
        <f>SUM(H67:H74)</f>
        <v>25700</v>
      </c>
      <c r="I75" s="80">
        <f>SUM(I67:I74)</f>
        <v>46700</v>
      </c>
      <c r="J75" s="80">
        <f>SUM(J67:K74)</f>
        <v>260200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</v>
      </c>
      <c r="G80" s="80">
        <f>SUM(G75:G79)</f>
        <v>187800</v>
      </c>
      <c r="H80" s="80">
        <f>SUM(H75:H79)</f>
        <v>25700</v>
      </c>
      <c r="I80" s="80">
        <f>SUM(I75:I79)</f>
        <v>46700</v>
      </c>
      <c r="J80" s="80">
        <f>SUM(J75:J79)</f>
        <v>260200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8" priority="8">
      <formula>$J$44&lt;0</formula>
    </cfRule>
  </conditionalFormatting>
  <conditionalFormatting sqref="K43">
    <cfRule type="expression" dxfId="27" priority="7">
      <formula>$J$43&lt;0</formula>
    </cfRule>
  </conditionalFormatting>
  <conditionalFormatting sqref="L16">
    <cfRule type="expression" dxfId="26" priority="6">
      <formula>$J$16&lt;0</formula>
    </cfRule>
  </conditionalFormatting>
  <conditionalFormatting sqref="K45">
    <cfRule type="expression" dxfId="25" priority="5">
      <formula>$J$44&lt;0</formula>
    </cfRule>
  </conditionalFormatting>
  <conditionalFormatting sqref="K43:N45">
    <cfRule type="containsText" dxfId="24" priority="4" operator="containsText" text="underfunding">
      <formula>NOT(ISERROR(SEARCH("underfunding",K43)))</formula>
    </cfRule>
  </conditionalFormatting>
  <conditionalFormatting sqref="K44">
    <cfRule type="expression" dxfId="23" priority="3">
      <formula>$J$44&lt;0</formula>
    </cfRule>
  </conditionalFormatting>
  <conditionalFormatting sqref="K45">
    <cfRule type="expression" dxfId="22" priority="2">
      <formula>$J$44&lt;0</formula>
    </cfRule>
  </conditionalFormatting>
  <conditionalFormatting sqref="K45">
    <cfRule type="expression" dxfId="2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10AF44-45C4-4CA2-A63C-28E253631D4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78F73-6A55-4E1C-A3D7-7690CA167F81}">
  <sheetPr codeName="Sheet10"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295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199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296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324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296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243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322</v>
      </c>
      <c r="J5" s="412"/>
      <c r="K5" s="412"/>
      <c r="L5" s="411"/>
      <c r="M5" s="352" t="s">
        <v>113</v>
      </c>
      <c r="N5" s="32" t="s">
        <v>323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"&amp;'GVEB|0199-00'!FiscalYear-1&amp;" SALARY"</f>
        <v>FY 2023 SALARY</v>
      </c>
      <c r="H8" s="50" t="str">
        <f>"FY "&amp;'GVEB|0199-00'!FiscalYear-1&amp;" HEALTH BENEFITS"</f>
        <v>FY 2023 HEALTH BENEFITS</v>
      </c>
      <c r="I8" s="50" t="str">
        <f>"FY "&amp;'GVEB|0199-00'!FiscalYear-1&amp;" VAR BENEFITS"</f>
        <v>FY 2023 VAR BENEFITS</v>
      </c>
      <c r="J8" s="50" t="str">
        <f>"FY "&amp;'GVEB|0199-00'!FiscalYear-1&amp;" TOTAL"</f>
        <v>FY 2023 TOTAL</v>
      </c>
      <c r="K8" s="50" t="str">
        <f>"FY "&amp;'GVEB|0199-00'!FiscalYear&amp;" SALARY CHANGE"</f>
        <v>FY 2024 SALARY CHANGE</v>
      </c>
      <c r="L8" s="50" t="str">
        <f>"FY "&amp;'GVEB|0199-00'!FiscalYear&amp;" CHG HEALTH BENEFITS"</f>
        <v>FY 2024 CHG HEALTH BENEFITS</v>
      </c>
      <c r="M8" s="50" t="str">
        <f>"FY "&amp;'GVEB|0199-00'!FiscalYear&amp;"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[0]!GVEB019900col_INC_FTI</f>
        <v>0.79999999999999993</v>
      </c>
      <c r="G10" s="218">
        <f>[0]!GVEB019900col_FTI_SALARY_PERM</f>
        <v>99453.119999999995</v>
      </c>
      <c r="H10" s="218">
        <f>[0]!GVEB019900col_HEALTH_PERM</f>
        <v>10000</v>
      </c>
      <c r="I10" s="218">
        <f>[0]!GVEB019900col_TOT_VB_PERM</f>
        <v>20557.954435200001</v>
      </c>
      <c r="J10" s="219">
        <f>SUM(G10:I10)</f>
        <v>130011.07443519999</v>
      </c>
      <c r="K10" s="219">
        <f>[0]!GVEB019900col_1_27TH_PP</f>
        <v>0</v>
      </c>
      <c r="L10" s="218">
        <f>[0]!GVEB019900col_HEALTH_PERM_CHG</f>
        <v>1000</v>
      </c>
      <c r="M10" s="218">
        <f>[0]!GVEB019900col_TOT_VB_PERM_CHG</f>
        <v>-875.18745600000091</v>
      </c>
      <c r="N10" s="218">
        <f>SUM(L10:M10)</f>
        <v>124.81254399999909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1000</v>
      </c>
      <c r="AB10" s="335">
        <f>ROUND(PermVarBen*CECPerm+(CECPerm*PermVarBenChg),-2)</f>
        <v>200</v>
      </c>
      <c r="AC10" s="335">
        <f>SUM(AA10:AB10)</f>
        <v>1200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[0]!GVEB019900col_Group_Salary</f>
        <v>0</v>
      </c>
      <c r="H11" s="218">
        <v>0</v>
      </c>
      <c r="I11" s="218">
        <f>[0]!GVEB019900col_Group_Ben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[0]!GVEB019900col_TOTAL_ELECT_PCN_FTI</f>
        <v>0</v>
      </c>
      <c r="G12" s="218">
        <f>[0]!GVEB019900col_FTI_SALARY_ELECT</f>
        <v>0</v>
      </c>
      <c r="H12" s="218">
        <f>[0]!GVEB019900col_HEALTH_ELECT</f>
        <v>0</v>
      </c>
      <c r="I12" s="218">
        <f>[0]!GVEB019900col_TOT_VB_ELECT</f>
        <v>0</v>
      </c>
      <c r="J12" s="219">
        <f>SUM(G12:I12)</f>
        <v>0</v>
      </c>
      <c r="K12" s="268"/>
      <c r="L12" s="218">
        <f>[0]!GVEB019900col_HEALTH_ELECT_CHG</f>
        <v>0</v>
      </c>
      <c r="M12" s="218">
        <f>[0]!GVEB019900col_TOT_VB_ELECT_CHG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0.79999999999999993</v>
      </c>
      <c r="G13" s="221">
        <f>SUM(G10:G12)</f>
        <v>99453.119999999995</v>
      </c>
      <c r="H13" s="221">
        <f>SUM(H10:H12)</f>
        <v>10000</v>
      </c>
      <c r="I13" s="221">
        <f>SUM(I10:I12)</f>
        <v>20557.954435200001</v>
      </c>
      <c r="J13" s="219">
        <f>SUM(G13:I13)</f>
        <v>130011.07443519999</v>
      </c>
      <c r="K13" s="268"/>
      <c r="L13" s="219">
        <f>SUM(L10:L12)</f>
        <v>1000</v>
      </c>
      <c r="M13" s="219">
        <f>SUM(M10:M12)</f>
        <v>-875.18745600000091</v>
      </c>
      <c r="N13" s="219">
        <f>SUM(N10:N12)</f>
        <v>124.81254399999909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"&amp;'GVEB|0199-00'!FiscalYear-1</f>
        <v>FY 2023</v>
      </c>
      <c r="D15" s="158" t="s">
        <v>31</v>
      </c>
      <c r="E15" s="355">
        <v>226900</v>
      </c>
      <c r="F15" s="55">
        <v>1.1499999999999999</v>
      </c>
      <c r="G15" s="223">
        <f>IF(OrigApprop=0,0,(G13/$J$13)*OrigApprop)</f>
        <v>173569.159596841</v>
      </c>
      <c r="H15" s="223">
        <f>IF(OrigApprop=0,0,(H13/$J$13)*OrigApprop)</f>
        <v>17452.359422896032</v>
      </c>
      <c r="I15" s="223">
        <f>IF(G15=0,0,(I13/$J$13)*OrigApprop)</f>
        <v>35878.480980262997</v>
      </c>
      <c r="J15" s="223">
        <f>SUM(G15:I15)</f>
        <v>226900.00000000003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0.35</v>
      </c>
      <c r="G16" s="162">
        <f>G15-G13</f>
        <v>74116.039596841001</v>
      </c>
      <c r="H16" s="162">
        <f>H15-H13</f>
        <v>7452.3594228960319</v>
      </c>
      <c r="I16" s="162">
        <f>I15-I13</f>
        <v>15320.526545062996</v>
      </c>
      <c r="J16" s="162">
        <f>J15-J13</f>
        <v>96888.92556480004</v>
      </c>
      <c r="K16" s="269"/>
      <c r="L16" s="56" t="str">
        <f>IF('GVEB|0199-00'!OrigApprop=0,"No Original Appropriation amount in DU 3.00 for this fund","Calculated "&amp;IF('GVEB|0199-00'!AdjustedTotal&gt;0,"overfunding ","underfunding ")&amp;"is "&amp;TEXT('GVEB|0199-00'!AdjustedTotal/'GVEB|0199-00'!AppropTotal,"#.0%;(#.0% );0% ;")&amp;" of Original Appropriation")</f>
        <v>Calculated overfunding is 42.7%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0.79999999999999993</v>
      </c>
      <c r="G38" s="191">
        <f>SUMIF($E10:$E35,$E38,$G10:$G35)</f>
        <v>99453.119999999995</v>
      </c>
      <c r="H38" s="192">
        <f>SUMIF($E10:$E35,$E38,$H10:$H35)</f>
        <v>10000</v>
      </c>
      <c r="I38" s="192">
        <f>SUMIF($E10:$E35,$E38,$I10:$I35)</f>
        <v>20557.954435200001</v>
      </c>
      <c r="J38" s="192">
        <f>SUM(G38:I38)</f>
        <v>130011.07443519999</v>
      </c>
      <c r="K38" s="166"/>
      <c r="L38" s="191">
        <f>SUMIF($E10:$E35,$E38,$L10:$L35)</f>
        <v>1000</v>
      </c>
      <c r="M38" s="192">
        <f>SUMIF($E10:$E35,$E38,$M10:$M35)</f>
        <v>-875.18745600000091</v>
      </c>
      <c r="N38" s="192">
        <f>SUM(L38:M38)</f>
        <v>124.81254399999909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1000</v>
      </c>
      <c r="AB38" s="338">
        <f>ROUND((AdjPermVB*CECPerm+AdjPermVBBY*CECPerm),-2)</f>
        <v>200</v>
      </c>
      <c r="AC38" s="338">
        <f>SUM(AA38:AB38)</f>
        <v>1200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0.79999999999999993</v>
      </c>
      <c r="G41" s="195">
        <f>SUM($G$38:$G$40)</f>
        <v>99453.119999999995</v>
      </c>
      <c r="H41" s="162">
        <f>SUM($H$38:$H$40)</f>
        <v>10000</v>
      </c>
      <c r="I41" s="162">
        <f>SUM($I$38:$I$40)</f>
        <v>20557.954435200001</v>
      </c>
      <c r="J41" s="162">
        <f>SUM($J$38:$J$40)</f>
        <v>130011.07443519999</v>
      </c>
      <c r="K41" s="259"/>
      <c r="L41" s="195">
        <f>SUM($L$38:$L$40)</f>
        <v>1000</v>
      </c>
      <c r="M41" s="162">
        <f>SUM($M$38:$M$40)</f>
        <v>-875.18745600000091</v>
      </c>
      <c r="N41" s="162">
        <f>SUM(L41:M41)</f>
        <v>124.81254399999909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0.35</v>
      </c>
      <c r="G43" s="206">
        <f>G51-G41</f>
        <v>74116.039596841001</v>
      </c>
      <c r="H43" s="159">
        <f>H51-H41</f>
        <v>7452.3594228960319</v>
      </c>
      <c r="I43" s="159">
        <f>I51-I41</f>
        <v>15320.526545062996</v>
      </c>
      <c r="J43" s="159">
        <f>SUM(G43:I43)</f>
        <v>96888.925564800025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42.7%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0.35</v>
      </c>
      <c r="G44" s="206">
        <f>G60-G41</f>
        <v>74146.880000000005</v>
      </c>
      <c r="H44" s="159">
        <f>H60-H41</f>
        <v>7500</v>
      </c>
      <c r="I44" s="159">
        <f>I60-I41</f>
        <v>15342.045564799999</v>
      </c>
      <c r="J44" s="159">
        <f>SUM(G44:I44)</f>
        <v>96988.925564800011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42.7%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0.35</v>
      </c>
      <c r="G45" s="206">
        <f>G67-G41-G63</f>
        <v>74146.880000000005</v>
      </c>
      <c r="H45" s="206">
        <f>H67-H41-H63</f>
        <v>7500</v>
      </c>
      <c r="I45" s="206">
        <f>I67-I41-I63</f>
        <v>15342.045564799999</v>
      </c>
      <c r="J45" s="159">
        <f>SUM(G45:I45)</f>
        <v>96988.925564800011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42.7%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226900</v>
      </c>
      <c r="F51" s="272">
        <f>AppropFTP</f>
        <v>1.1499999999999999</v>
      </c>
      <c r="G51" s="274">
        <f>IF(E51=0,0,(G41/$J$41)*$E$51)</f>
        <v>173569.159596841</v>
      </c>
      <c r="H51" s="274">
        <f>IF(E51=0,0,(H41/$J$41)*$E$51)</f>
        <v>17452.359422896032</v>
      </c>
      <c r="I51" s="275">
        <f>IF(E51=0,0,(I41/$J$41)*$E$51)</f>
        <v>35878.480980262997</v>
      </c>
      <c r="J51" s="90">
        <f>SUM(G51:I51)</f>
        <v>226900.00000000003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1.1499999999999999</v>
      </c>
      <c r="G52" s="79">
        <f>ROUND(G51,-2)</f>
        <v>173600</v>
      </c>
      <c r="H52" s="79">
        <f>ROUND(H51,-2)</f>
        <v>17500</v>
      </c>
      <c r="I52" s="266">
        <f>ROUND(I51,-2)</f>
        <v>35900</v>
      </c>
      <c r="J52" s="80">
        <f>ROUND(J51,-2)</f>
        <v>226900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1.1499999999999999</v>
      </c>
      <c r="G56" s="80">
        <f>SUM(G52:G55)</f>
        <v>173600</v>
      </c>
      <c r="H56" s="80">
        <f>SUM(H52:H55)</f>
        <v>17500</v>
      </c>
      <c r="I56" s="260">
        <f>SUM(I52:I55)</f>
        <v>35900</v>
      </c>
      <c r="J56" s="80">
        <f>SUM(J52:J55)</f>
        <v>226900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1.1499999999999999</v>
      </c>
      <c r="G60" s="80">
        <f>SUM(G56:G59)</f>
        <v>173600</v>
      </c>
      <c r="H60" s="80">
        <f>SUM(H56:H59)</f>
        <v>17500</v>
      </c>
      <c r="I60" s="260">
        <f>SUM(I56:I59)</f>
        <v>35900</v>
      </c>
      <c r="J60" s="80">
        <f>SUM(J56:J59)</f>
        <v>226900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1.1499999999999999</v>
      </c>
      <c r="G67" s="80">
        <f>SUM(G60:G64)</f>
        <v>173600</v>
      </c>
      <c r="H67" s="80">
        <f>SUM(H60:H64)</f>
        <v>17500</v>
      </c>
      <c r="I67" s="80">
        <f>SUM(I60:I64)</f>
        <v>35900</v>
      </c>
      <c r="J67" s="80">
        <f>SUM(J60:J64)</f>
        <v>226900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1000</v>
      </c>
      <c r="I68" s="113"/>
      <c r="J68" s="287">
        <f>SUM(G68:I68)</f>
        <v>1000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-900</v>
      </c>
      <c r="J69" s="287">
        <f>SUM(G69:I69)</f>
        <v>-900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1000</v>
      </c>
      <c r="H72" s="287"/>
      <c r="I72" s="287">
        <f>ROUND(($G72*PermVBBY+$G72*Retire1BY),-2)</f>
        <v>200</v>
      </c>
      <c r="J72" s="113">
        <f>SUM(G72:I72)</f>
        <v>1200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1.1499999999999999</v>
      </c>
      <c r="G75" s="80">
        <f>SUM(G67:G74)</f>
        <v>174600</v>
      </c>
      <c r="H75" s="80">
        <f>SUM(H67:H74)</f>
        <v>18500</v>
      </c>
      <c r="I75" s="80">
        <f>SUM(I67:I74)</f>
        <v>35200</v>
      </c>
      <c r="J75" s="80">
        <f>SUM(J67:K74)</f>
        <v>228200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1.1499999999999999</v>
      </c>
      <c r="G80" s="80">
        <f>SUM(G75:G79)</f>
        <v>174600</v>
      </c>
      <c r="H80" s="80">
        <f>SUM(H75:H79)</f>
        <v>18500</v>
      </c>
      <c r="I80" s="80">
        <f>SUM(I75:I79)</f>
        <v>35200</v>
      </c>
      <c r="J80" s="80">
        <f>SUM(J75:J79)</f>
        <v>228200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0" priority="8">
      <formula>$J$44&lt;0</formula>
    </cfRule>
  </conditionalFormatting>
  <conditionalFormatting sqref="K43">
    <cfRule type="expression" dxfId="19" priority="7">
      <formula>$J$43&lt;0</formula>
    </cfRule>
  </conditionalFormatting>
  <conditionalFormatting sqref="L16">
    <cfRule type="expression" dxfId="18" priority="6">
      <formula>$J$16&lt;0</formula>
    </cfRule>
  </conditionalFormatting>
  <conditionalFormatting sqref="K45">
    <cfRule type="expression" dxfId="17" priority="5">
      <formula>$J$44&lt;0</formula>
    </cfRule>
  </conditionalFormatting>
  <conditionalFormatting sqref="K43:N45">
    <cfRule type="containsText" dxfId="16" priority="4" operator="containsText" text="underfunding">
      <formula>NOT(ISERROR(SEARCH("underfunding",K43)))</formula>
    </cfRule>
  </conditionalFormatting>
  <conditionalFormatting sqref="K44">
    <cfRule type="expression" dxfId="15" priority="3">
      <formula>$J$44&lt;0</formula>
    </cfRule>
  </conditionalFormatting>
  <conditionalFormatting sqref="K45">
    <cfRule type="expression" dxfId="14" priority="2">
      <formula>$J$44&lt;0</formula>
    </cfRule>
  </conditionalFormatting>
  <conditionalFormatting sqref="K45">
    <cfRule type="expression" dxfId="1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70AC0A-AB6B-45DC-BFF0-03A07A0C443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L73"/>
  <sheetViews>
    <sheetView workbookViewId="0">
      <pane xSplit="3" ySplit="1" topLeftCell="AO20" activePane="bottomRight" state="frozen"/>
      <selection pane="topRight" activeCell="D1" sqref="D1"/>
      <selection pane="bottomLeft" activeCell="A2" sqref="A2"/>
      <selection pane="bottomRight" activeCell="BX26" sqref="BX26:BX33"/>
    </sheetView>
  </sheetViews>
  <sheetFormatPr defaultRowHeight="15"/>
  <cols>
    <col min="45" max="53" width="15.7109375" customWidth="1"/>
    <col min="54" max="54" width="10.85546875" bestFit="1" customWidth="1"/>
    <col min="55" max="55" width="9.28515625" bestFit="1" customWidth="1"/>
    <col min="56" max="56" width="10.85546875" bestFit="1" customWidth="1"/>
    <col min="57" max="57" width="9.7109375" bestFit="1" customWidth="1"/>
    <col min="58" max="58" width="10.85546875" bestFit="1" customWidth="1"/>
    <col min="59" max="59" width="9.7109375" bestFit="1" customWidth="1"/>
    <col min="60" max="61" width="9.28515625" bestFit="1" customWidth="1"/>
    <col min="62" max="62" width="9.7109375" bestFit="1" customWidth="1"/>
    <col min="63" max="63" width="9.28515625" bestFit="1" customWidth="1"/>
    <col min="64" max="64" width="10.85546875" bestFit="1" customWidth="1"/>
    <col min="65" max="65" width="9.28515625" bestFit="1" customWidth="1"/>
    <col min="66" max="66" width="10.85546875" bestFit="1" customWidth="1"/>
    <col min="67" max="67" width="9.28515625" bestFit="1" customWidth="1"/>
    <col min="68" max="68" width="10.85546875" bestFit="1" customWidth="1"/>
    <col min="69" max="69" width="9.7109375" bestFit="1" customWidth="1"/>
    <col min="70" max="70" width="10.85546875" bestFit="1" customWidth="1"/>
    <col min="71" max="71" width="9.7109375" bestFit="1" customWidth="1"/>
    <col min="72" max="75" width="9.28515625" bestFit="1" customWidth="1"/>
    <col min="76" max="76" width="10.85546875" bestFit="1" customWidth="1"/>
    <col min="77" max="77" width="9.28515625" bestFit="1" customWidth="1"/>
    <col min="78" max="78" width="9.7109375" bestFit="1" customWidth="1"/>
    <col min="79" max="81" width="9.28515625" bestFit="1" customWidth="1"/>
    <col min="82" max="82" width="10.42578125" bestFit="1" customWidth="1"/>
    <col min="83" max="87" width="9.28515625" bestFit="1" customWidth="1"/>
    <col min="88" max="88" width="10.42578125" bestFit="1" customWidth="1"/>
    <col min="89" max="89" width="9.28515625" bestFit="1" customWidth="1"/>
    <col min="90" max="90" width="10.85546875" bestFit="1" customWidth="1"/>
    <col min="91" max="91" width="9.7109375" bestFit="1" customWidth="1"/>
  </cols>
  <sheetData>
    <row r="1" spans="1:92" ht="12.75" customHeight="1" thickBot="1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245</v>
      </c>
      <c r="AT1" s="387" t="s">
        <v>246</v>
      </c>
      <c r="AU1" s="387" t="s">
        <v>247</v>
      </c>
      <c r="AV1" s="387" t="s">
        <v>248</v>
      </c>
      <c r="AW1" s="387" t="s">
        <v>249</v>
      </c>
      <c r="AX1" s="387" t="s">
        <v>250</v>
      </c>
      <c r="AY1" s="387" t="s">
        <v>251</v>
      </c>
      <c r="AZ1" s="387" t="s">
        <v>252</v>
      </c>
      <c r="BA1" s="389" t="s">
        <v>253</v>
      </c>
      <c r="BB1" s="390" t="s">
        <v>254</v>
      </c>
      <c r="BC1" s="390" t="s">
        <v>255</v>
      </c>
      <c r="BD1" s="390" t="s">
        <v>256</v>
      </c>
      <c r="BE1" s="390" t="s">
        <v>257</v>
      </c>
      <c r="BF1" s="390" t="s">
        <v>258</v>
      </c>
      <c r="BG1" s="390" t="s">
        <v>259</v>
      </c>
      <c r="BH1" s="390" t="s">
        <v>260</v>
      </c>
      <c r="BI1" s="390" t="s">
        <v>261</v>
      </c>
      <c r="BJ1" s="390" t="s">
        <v>262</v>
      </c>
      <c r="BK1" s="390" t="s">
        <v>263</v>
      </c>
      <c r="BL1" s="391" t="s">
        <v>264</v>
      </c>
      <c r="BM1" s="391" t="s">
        <v>265</v>
      </c>
      <c r="BN1" s="390" t="s">
        <v>266</v>
      </c>
      <c r="BO1" s="390" t="s">
        <v>267</v>
      </c>
      <c r="BP1" s="390" t="s">
        <v>268</v>
      </c>
      <c r="BQ1" s="390" t="s">
        <v>269</v>
      </c>
      <c r="BR1" s="390" t="s">
        <v>270</v>
      </c>
      <c r="BS1" s="390" t="s">
        <v>271</v>
      </c>
      <c r="BT1" s="390" t="s">
        <v>272</v>
      </c>
      <c r="BU1" s="390" t="s">
        <v>273</v>
      </c>
      <c r="BV1" s="390" t="s">
        <v>274</v>
      </c>
      <c r="BW1" s="390" t="s">
        <v>275</v>
      </c>
      <c r="BX1" s="391" t="s">
        <v>276</v>
      </c>
      <c r="BY1" s="391" t="s">
        <v>277</v>
      </c>
      <c r="BZ1" s="390" t="s">
        <v>278</v>
      </c>
      <c r="CA1" s="390" t="s">
        <v>279</v>
      </c>
      <c r="CB1" s="390" t="s">
        <v>280</v>
      </c>
      <c r="CC1" s="390" t="s">
        <v>281</v>
      </c>
      <c r="CD1" s="390" t="s">
        <v>282</v>
      </c>
      <c r="CE1" s="390" t="s">
        <v>283</v>
      </c>
      <c r="CF1" s="390" t="s">
        <v>284</v>
      </c>
      <c r="CG1" s="390" t="s">
        <v>285</v>
      </c>
      <c r="CH1" s="390" t="s">
        <v>286</v>
      </c>
      <c r="CI1" s="390" t="s">
        <v>287</v>
      </c>
      <c r="CJ1" s="391" t="s">
        <v>288</v>
      </c>
      <c r="CK1" s="391" t="s">
        <v>289</v>
      </c>
      <c r="CL1" s="392" t="s">
        <v>290</v>
      </c>
      <c r="CM1" s="392" t="s">
        <v>291</v>
      </c>
      <c r="CN1" s="392" t="s">
        <v>292</v>
      </c>
    </row>
    <row r="2" spans="1:92" ht="15.75" thickBot="1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1</v>
      </c>
      <c r="P2" s="386">
        <v>0.3</v>
      </c>
      <c r="Q2" s="386">
        <v>0.3</v>
      </c>
      <c r="R2" s="381">
        <v>80</v>
      </c>
      <c r="S2" s="386">
        <v>0.3</v>
      </c>
      <c r="T2" s="381">
        <v>25582.03</v>
      </c>
      <c r="U2" s="381">
        <v>0</v>
      </c>
      <c r="V2" s="381">
        <v>6162.1</v>
      </c>
      <c r="W2" s="381">
        <v>39000</v>
      </c>
      <c r="X2" s="381">
        <v>11811.69</v>
      </c>
      <c r="Y2" s="381">
        <v>39000</v>
      </c>
      <c r="Z2" s="381">
        <v>11843.49</v>
      </c>
      <c r="AA2" s="377" t="s">
        <v>173</v>
      </c>
      <c r="AB2" s="377" t="s">
        <v>174</v>
      </c>
      <c r="AC2" s="377" t="s">
        <v>175</v>
      </c>
      <c r="AD2" s="377" t="s">
        <v>176</v>
      </c>
      <c r="AE2" s="377" t="s">
        <v>170</v>
      </c>
      <c r="AF2" s="377" t="s">
        <v>177</v>
      </c>
      <c r="AG2" s="377" t="s">
        <v>178</v>
      </c>
      <c r="AH2" s="382">
        <v>62.5</v>
      </c>
      <c r="AI2" s="380">
        <v>5671</v>
      </c>
      <c r="AJ2" s="377" t="s">
        <v>179</v>
      </c>
      <c r="AK2" s="377" t="s">
        <v>180</v>
      </c>
      <c r="AL2" s="377" t="s">
        <v>181</v>
      </c>
      <c r="AM2" s="377" t="s">
        <v>181</v>
      </c>
      <c r="AN2" s="377" t="s">
        <v>66</v>
      </c>
      <c r="AO2" s="380">
        <v>80</v>
      </c>
      <c r="AP2" s="386">
        <v>1</v>
      </c>
      <c r="AQ2" s="386">
        <v>0.3</v>
      </c>
      <c r="AR2" s="384" t="s">
        <v>182</v>
      </c>
      <c r="AS2" s="388">
        <f>IF(((AO2/80)*AP2*P2)&gt;1,AQ2,((AO2/80)*AP2*P2))</f>
        <v>0.3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IF(AT2=0,"",IF(AND(AT2=1,M2="F",SUMIF(C2:C33,C2,AS2:AS33)&lt;=1),SUMIF(C2:C33,C2,AS2:AS33),IF(AND(AT2=1,M2="F",SUMIF(C2:C33,C2,AS2:AS33)&gt;1),1,"")))</f>
        <v>1</v>
      </c>
      <c r="AV2" s="388" t="str">
        <f>IF(AT2=0,"",IF(AND(AT2=3,M2="F",SUMIF(C2:C33,C2,AS2:AS33)&lt;=1),SUMIF(C2:C33,C2,AS2:AS33),IF(AND(AT2=3,M2="F",SUMIF(C2:C33,C2,AS2:AS33)&gt;1),1,"")))</f>
        <v/>
      </c>
      <c r="AW2" s="388">
        <f>SUMIF(C2:C33,C2,O2:O33)</f>
        <v>4</v>
      </c>
      <c r="AX2" s="388">
        <f>IF(AND(M2="F",AS2&lt;&gt;0),SUMIF(C2:C33,C2,W2:W33),0)</f>
        <v>130000</v>
      </c>
      <c r="AY2" s="388">
        <f>IF(AT2=1,W2,"")</f>
        <v>39000</v>
      </c>
      <c r="AZ2" s="388" t="str">
        <f>IF(AT2=3,W2,"")</f>
        <v/>
      </c>
      <c r="BA2" s="388">
        <f>IF(AT2=1,Y2-W2,0)</f>
        <v>0</v>
      </c>
      <c r="BB2" s="388">
        <f t="shared" ref="BB2:BB33" si="0">IF(AND(AT2=1,AK2="E",AU2&gt;=0.75,AW2=1),Health,IF(AND(AT2=1,AK2="E",AU2&gt;=0.75),Health*P2,IF(AND(AT2=1,AK2="E",AU2&gt;=0.5,AW2=1),PTHealth,IF(AND(AT2=1,AK2="E",AU2&gt;=0.5),PTHealth*P2,0))))</f>
        <v>3750</v>
      </c>
      <c r="BC2" s="388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33" si="2">IF(AND(AT2&lt;&gt;0,AX2&gt;=MAXSSDI),SSDI*MAXSSDI*P2,IF(AT2&lt;&gt;0,SSDI*W2,0))</f>
        <v>2418</v>
      </c>
      <c r="BE2" s="388">
        <f t="shared" ref="BE2:BE33" si="3">IF(AT2&lt;&gt;0,SSHI*W2,0)</f>
        <v>565.5</v>
      </c>
      <c r="BF2" s="388">
        <f t="shared" ref="BF2:BF33" si="4">IF(AND(AT2&lt;&gt;0,AN2&lt;&gt;"NE"),VLOOKUP(AN2,Retirement_Rates,3,FALSE)*W2,0)</f>
        <v>4656.6000000000004</v>
      </c>
      <c r="BG2" s="388">
        <f t="shared" ref="BG2:BG33" si="5">IF(AND(AT2&lt;&gt;0,AJ2&lt;&gt;"PF"),Life*W2,0)</f>
        <v>281.19</v>
      </c>
      <c r="BH2" s="388">
        <f t="shared" ref="BH2:BH33" si="6">IF(AND(AT2&lt;&gt;0,AM2="Y"),UI*W2,0)</f>
        <v>0</v>
      </c>
      <c r="BI2" s="388">
        <f t="shared" ref="BI2:BI33" si="7">IF(AND(AT2&lt;&gt;0,N2&lt;&gt;"NR"),DHR*W2,0)</f>
        <v>0</v>
      </c>
      <c r="BJ2" s="388">
        <f t="shared" ref="BJ2:BJ33" si="8">IF(AT2&lt;&gt;0,WC*W2,0)</f>
        <v>140.4</v>
      </c>
      <c r="BK2" s="388">
        <f t="shared" ref="BK2:BK33" si="9">IF(OR(AND(AT2&lt;&gt;0,AJ2&lt;&gt;"PF",AN2&lt;&gt;"NE",AG2&lt;&gt;"A"),AND(AL2="E",OR(AT2=1,AT2=3))),Sick*W2,0)</f>
        <v>0</v>
      </c>
      <c r="BL2" s="388">
        <f>IF(AT2=1,SUM(BD2:BK2),0)</f>
        <v>8061.69</v>
      </c>
      <c r="BM2" s="388">
        <f>IF(AT2=3,SUM(BD2:BK2),0)</f>
        <v>0</v>
      </c>
      <c r="BN2" s="388">
        <f t="shared" ref="BN2:BN33" si="10">IF(AND(AT2=1,AK2="E",AU2&gt;=0.75,AW2=1),HealthBY,IF(AND(AT2=1,AK2="E",AU2&gt;=0.75),HealthBY*P2,IF(AND(AT2=1,AK2="E",AU2&gt;=0.5,AW2=1),PTHealthBY,IF(AND(AT2=1,AK2="E",AU2&gt;=0.5),PTHealthBY*P2,0))))</f>
        <v>4125</v>
      </c>
      <c r="BO2" s="388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33" si="12">IF(AND(AT2&lt;&gt;0,(AX2+BA2)&gt;=MAXSSDIBY),SSDIBY*MAXSSDIBY*P2,IF(AT2&lt;&gt;0,SSDIBY*W2,0))</f>
        <v>2418</v>
      </c>
      <c r="BQ2" s="388">
        <f t="shared" ref="BQ2:BQ33" si="13">IF(AT2&lt;&gt;0,SSHIBY*W2,0)</f>
        <v>565.5</v>
      </c>
      <c r="BR2" s="388">
        <f t="shared" ref="BR2:BR33" si="14">IF(AND(AT2&lt;&gt;0,AN2&lt;&gt;"NE"),VLOOKUP(AN2,Retirement_Rates,4,FALSE)*W2,0)</f>
        <v>4360.2</v>
      </c>
      <c r="BS2" s="388">
        <f t="shared" ref="BS2:BS33" si="15">IF(AND(AT2&lt;&gt;0,AJ2&lt;&gt;"PF"),LifeBY*W2,0)</f>
        <v>281.19</v>
      </c>
      <c r="BT2" s="388">
        <f t="shared" ref="BT2:BT33" si="16">IF(AND(AT2&lt;&gt;0,AM2="Y"),UIBY*W2,0)</f>
        <v>0</v>
      </c>
      <c r="BU2" s="388">
        <f t="shared" ref="BU2:BU33" si="17">IF(AND(AT2&lt;&gt;0,N2&lt;&gt;"NR"),DHRBY*W2,0)</f>
        <v>0</v>
      </c>
      <c r="BV2" s="388">
        <f t="shared" ref="BV2:BV33" si="18">IF(AT2&lt;&gt;0,WCBY*W2,0)</f>
        <v>93.6</v>
      </c>
      <c r="BW2" s="388">
        <f t="shared" ref="BW2:BW33" si="19">IF(OR(AND(AT2&lt;&gt;0,AJ2&lt;&gt;"PF",AN2&lt;&gt;"NE",AG2&lt;&gt;"A"),AND(AL2="E",OR(AT2=1,AT2=3))),SickBY*W2,0)</f>
        <v>0</v>
      </c>
      <c r="BX2" s="388">
        <f>IF(AT2=1,SUM(BP2:BW2),0)</f>
        <v>7718.49</v>
      </c>
      <c r="BY2" s="388">
        <f>IF(AT2=3,SUM(BP2:BW2),0)</f>
        <v>0</v>
      </c>
      <c r="BZ2" s="388">
        <f>IF(AT2=1,BN2-BB2,0)</f>
        <v>375</v>
      </c>
      <c r="CA2" s="388">
        <f>IF(AT2=3,BO2-BC2,0)</f>
        <v>0</v>
      </c>
      <c r="CB2" s="388">
        <f>BP2-BD2</f>
        <v>0</v>
      </c>
      <c r="CC2" s="388">
        <f t="shared" ref="CC2:CC33" si="20">IF(AT2&lt;&gt;0,SSHICHG*Y2,0)</f>
        <v>0</v>
      </c>
      <c r="CD2" s="388">
        <f t="shared" ref="CD2:CD33" si="21">IF(AND(AT2&lt;&gt;0,AN2&lt;&gt;"NE"),VLOOKUP(AN2,Retirement_Rates,5,FALSE)*Y2,0)</f>
        <v>-296.40000000000038</v>
      </c>
      <c r="CE2" s="388">
        <f t="shared" ref="CE2:CE33" si="22">IF(AND(AT2&lt;&gt;0,AJ2&lt;&gt;"PF"),LifeCHG*Y2,0)</f>
        <v>0</v>
      </c>
      <c r="CF2" s="388">
        <f t="shared" ref="CF2:CF33" si="23">IF(AND(AT2&lt;&gt;0,AM2="Y"),UICHG*Y2,0)</f>
        <v>0</v>
      </c>
      <c r="CG2" s="388">
        <f t="shared" ref="CG2:CG33" si="24">IF(AND(AT2&lt;&gt;0,N2&lt;&gt;"NR"),DHRCHG*Y2,0)</f>
        <v>0</v>
      </c>
      <c r="CH2" s="388">
        <f t="shared" ref="CH2:CH33" si="25">IF(AT2&lt;&gt;0,WCCHG*Y2,0)</f>
        <v>-46.800000000000004</v>
      </c>
      <c r="CI2" s="388">
        <f t="shared" ref="CI2:CI33" si="26">IF(OR(AND(AT2&lt;&gt;0,AJ2&lt;&gt;"PF",AN2&lt;&gt;"NE",AG2&lt;&gt;"A"),AND(AL2="E",OR(AT2=1,AT2=3))),SickCHG*Y2,0)</f>
        <v>0</v>
      </c>
      <c r="CJ2" s="388">
        <f>IF(AT2=1,SUM(CB2:CI2),0)</f>
        <v>-343.20000000000039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0125-00</v>
      </c>
    </row>
    <row r="3" spans="1:92" ht="15.75" thickBot="1">
      <c r="A3" s="377" t="s">
        <v>162</v>
      </c>
      <c r="B3" s="377" t="s">
        <v>163</v>
      </c>
      <c r="C3" s="377" t="s">
        <v>183</v>
      </c>
      <c r="D3" s="377" t="s">
        <v>184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185</v>
      </c>
      <c r="K3" s="377" t="s">
        <v>186</v>
      </c>
      <c r="L3" s="377" t="s">
        <v>187</v>
      </c>
      <c r="M3" s="377" t="s">
        <v>171</v>
      </c>
      <c r="N3" s="377" t="s">
        <v>172</v>
      </c>
      <c r="O3" s="380">
        <v>1</v>
      </c>
      <c r="P3" s="386">
        <v>1</v>
      </c>
      <c r="Q3" s="386">
        <v>1</v>
      </c>
      <c r="R3" s="381">
        <v>80</v>
      </c>
      <c r="S3" s="386">
        <v>1</v>
      </c>
      <c r="T3" s="381">
        <v>33918.18</v>
      </c>
      <c r="U3" s="381">
        <v>0</v>
      </c>
      <c r="V3" s="381">
        <v>16098.42</v>
      </c>
      <c r="W3" s="381">
        <v>54579.199999999997</v>
      </c>
      <c r="X3" s="381">
        <v>23782.04</v>
      </c>
      <c r="Y3" s="381">
        <v>54579.199999999997</v>
      </c>
      <c r="Z3" s="381">
        <v>24551.75</v>
      </c>
      <c r="AA3" s="377" t="s">
        <v>188</v>
      </c>
      <c r="AB3" s="377" t="s">
        <v>189</v>
      </c>
      <c r="AC3" s="377" t="s">
        <v>190</v>
      </c>
      <c r="AD3" s="377" t="s">
        <v>191</v>
      </c>
      <c r="AE3" s="377" t="s">
        <v>186</v>
      </c>
      <c r="AF3" s="377" t="s">
        <v>177</v>
      </c>
      <c r="AG3" s="377" t="s">
        <v>178</v>
      </c>
      <c r="AH3" s="382">
        <v>26.24</v>
      </c>
      <c r="AI3" s="382">
        <v>13781.5</v>
      </c>
      <c r="AJ3" s="377" t="s">
        <v>179</v>
      </c>
      <c r="AK3" s="377" t="s">
        <v>180</v>
      </c>
      <c r="AL3" s="377" t="s">
        <v>181</v>
      </c>
      <c r="AM3" s="377" t="s">
        <v>192</v>
      </c>
      <c r="AN3" s="377" t="s">
        <v>66</v>
      </c>
      <c r="AO3" s="380">
        <v>80</v>
      </c>
      <c r="AP3" s="386">
        <v>1</v>
      </c>
      <c r="AQ3" s="386">
        <v>1</v>
      </c>
      <c r="AR3" s="384" t="s">
        <v>182</v>
      </c>
      <c r="AS3" s="388">
        <f t="shared" ref="AS3:AS33" si="27">IF(((AO3/80)*AP3*P3)&gt;1,AQ3,((AO3/80)*AP3*P3))</f>
        <v>1</v>
      </c>
      <c r="AT3">
        <f t="shared" ref="AT3:AT33" si="28">IF(AND(M3="F",N3&lt;&gt;"NG",AS3&lt;&gt;0,AND(AR3&lt;&gt;6,AR3&lt;&gt;36,AR3&lt;&gt;56),AG3&lt;&gt;"A",OR(AG3="H",AJ3="FS")),1,IF(AND(M3="F",N3&lt;&gt;"NG",AS3&lt;&gt;0,AG3="A"),3,0))</f>
        <v>1</v>
      </c>
      <c r="AU3" s="388">
        <f>IF(AT3=0,"",IF(AND(AT3=1,M3="F",SUMIF(C2:C33,C3,AS2:AS33)&lt;=1),SUMIF(C2:C33,C3,AS2:AS33),IF(AND(AT3=1,M3="F",SUMIF(C2:C33,C3,AS2:AS33)&gt;1),1,"")))</f>
        <v>1</v>
      </c>
      <c r="AV3" s="388" t="str">
        <f>IF(AT3=0,"",IF(AND(AT3=3,M3="F",SUMIF(C2:C33,C3,AS2:AS33)&lt;=1),SUMIF(C2:C33,C3,AS2:AS33),IF(AND(AT3=3,M3="F",SUMIF(C2:C33,C3,AS2:AS33)&gt;1),1,"")))</f>
        <v/>
      </c>
      <c r="AW3" s="388">
        <f>SUMIF(C2:C33,C3,O2:O33)</f>
        <v>4</v>
      </c>
      <c r="AX3" s="388">
        <f>IF(AND(M3="F",AS3&lt;&gt;0),SUMIF(C2:C33,C3,W2:W33),0)</f>
        <v>54579.199999999997</v>
      </c>
      <c r="AY3" s="388">
        <f t="shared" ref="AY3:AY33" si="29">IF(AT3=1,W3,"")</f>
        <v>54579.199999999997</v>
      </c>
      <c r="AZ3" s="388" t="str">
        <f t="shared" ref="AZ3:AZ33" si="30">IF(AT3=3,W3,"")</f>
        <v/>
      </c>
      <c r="BA3" s="388">
        <f t="shared" ref="BA3:BA33" si="31">IF(AT3=1,Y3-W3,0)</f>
        <v>0</v>
      </c>
      <c r="BB3" s="388">
        <f t="shared" si="0"/>
        <v>12500</v>
      </c>
      <c r="BC3" s="388">
        <f t="shared" si="1"/>
        <v>0</v>
      </c>
      <c r="BD3" s="388">
        <f t="shared" si="2"/>
        <v>3383.9103999999998</v>
      </c>
      <c r="BE3" s="388">
        <f t="shared" si="3"/>
        <v>791.39840000000004</v>
      </c>
      <c r="BF3" s="388">
        <f t="shared" si="4"/>
        <v>6516.75648</v>
      </c>
      <c r="BG3" s="388">
        <f t="shared" si="5"/>
        <v>393.516032</v>
      </c>
      <c r="BH3" s="388">
        <f t="shared" si="6"/>
        <v>0</v>
      </c>
      <c r="BI3" s="388">
        <f t="shared" si="7"/>
        <v>0</v>
      </c>
      <c r="BJ3" s="388">
        <f t="shared" si="8"/>
        <v>196.48511999999999</v>
      </c>
      <c r="BK3" s="388">
        <f t="shared" si="9"/>
        <v>0</v>
      </c>
      <c r="BL3" s="388">
        <f t="shared" ref="BL3:BL33" si="32">IF(AT3=1,SUM(BD3:BK3),0)</f>
        <v>11282.066431999998</v>
      </c>
      <c r="BM3" s="388">
        <f t="shared" ref="BM3:BM33" si="33">IF(AT3=3,SUM(BD3:BK3),0)</f>
        <v>0</v>
      </c>
      <c r="BN3" s="388">
        <f t="shared" si="10"/>
        <v>13750</v>
      </c>
      <c r="BO3" s="388">
        <f t="shared" si="11"/>
        <v>0</v>
      </c>
      <c r="BP3" s="388">
        <f t="shared" si="12"/>
        <v>3383.9103999999998</v>
      </c>
      <c r="BQ3" s="388">
        <f t="shared" si="13"/>
        <v>791.39840000000004</v>
      </c>
      <c r="BR3" s="388">
        <f t="shared" si="14"/>
        <v>6101.9545599999992</v>
      </c>
      <c r="BS3" s="388">
        <f t="shared" si="15"/>
        <v>393.516032</v>
      </c>
      <c r="BT3" s="388">
        <f t="shared" si="16"/>
        <v>0</v>
      </c>
      <c r="BU3" s="388">
        <f t="shared" si="17"/>
        <v>0</v>
      </c>
      <c r="BV3" s="388">
        <f t="shared" si="18"/>
        <v>130.99007999999998</v>
      </c>
      <c r="BW3" s="388">
        <f t="shared" si="19"/>
        <v>0</v>
      </c>
      <c r="BX3" s="388">
        <f t="shared" ref="BX3:BX33" si="34">IF(AT3=1,SUM(BP3:BW3),0)</f>
        <v>10801.769471999998</v>
      </c>
      <c r="BY3" s="388">
        <f t="shared" ref="BY3:BY33" si="35">IF(AT3=3,SUM(BP3:BW3),0)</f>
        <v>0</v>
      </c>
      <c r="BZ3" s="388">
        <f t="shared" ref="BZ3:BZ33" si="36">IF(AT3=1,BN3-BB3,0)</f>
        <v>1250</v>
      </c>
      <c r="CA3" s="388">
        <f t="shared" ref="CA3:CA33" si="37">IF(AT3=3,BO3-BC3,0)</f>
        <v>0</v>
      </c>
      <c r="CB3" s="388">
        <f t="shared" ref="CB3:CB33" si="38">BP3-BD3</f>
        <v>0</v>
      </c>
      <c r="CC3" s="388">
        <f t="shared" si="20"/>
        <v>0</v>
      </c>
      <c r="CD3" s="388">
        <f t="shared" si="21"/>
        <v>-414.80192000000051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-65.495040000000003</v>
      </c>
      <c r="CI3" s="388">
        <f t="shared" si="26"/>
        <v>0</v>
      </c>
      <c r="CJ3" s="388">
        <f t="shared" ref="CJ3:CJ33" si="39">IF(AT3=1,SUM(CB3:CI3),0)</f>
        <v>-480.29696000000052</v>
      </c>
      <c r="CK3" s="388" t="str">
        <f t="shared" ref="CK3:CK33" si="40">IF(AT3=3,SUM(CB3:CI3),"")</f>
        <v/>
      </c>
      <c r="CL3" s="388" t="str">
        <f t="shared" ref="CL3:CL33" si="41">IF(OR(N3="NG",AG3="D"),(T3+U3),"")</f>
        <v/>
      </c>
      <c r="CM3" s="388" t="str">
        <f t="shared" ref="CM3:CM33" si="42">IF(OR(N3="NG",AG3="D"),V3,"")</f>
        <v/>
      </c>
      <c r="CN3" s="388" t="str">
        <f t="shared" ref="CN3:CN33" si="43">E3 &amp; "-" &amp; F3</f>
        <v>0125-00</v>
      </c>
    </row>
    <row r="4" spans="1:92" ht="15.75" thickBot="1">
      <c r="A4" s="377" t="s">
        <v>162</v>
      </c>
      <c r="B4" s="377" t="s">
        <v>163</v>
      </c>
      <c r="C4" s="377" t="s">
        <v>193</v>
      </c>
      <c r="D4" s="377" t="s">
        <v>194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195</v>
      </c>
      <c r="L4" s="377" t="s">
        <v>181</v>
      </c>
      <c r="M4" s="377" t="s">
        <v>171</v>
      </c>
      <c r="N4" s="377" t="s">
        <v>172</v>
      </c>
      <c r="O4" s="380">
        <v>1</v>
      </c>
      <c r="P4" s="386">
        <v>0</v>
      </c>
      <c r="Q4" s="386">
        <v>0</v>
      </c>
      <c r="R4" s="381">
        <v>80</v>
      </c>
      <c r="S4" s="386">
        <v>0</v>
      </c>
      <c r="T4" s="381">
        <v>9265.26</v>
      </c>
      <c r="U4" s="381">
        <v>0</v>
      </c>
      <c r="V4" s="381">
        <v>3072.72</v>
      </c>
      <c r="W4" s="381">
        <v>0</v>
      </c>
      <c r="X4" s="381">
        <v>0</v>
      </c>
      <c r="Y4" s="381">
        <v>0</v>
      </c>
      <c r="Z4" s="381">
        <v>0</v>
      </c>
      <c r="AA4" s="377" t="s">
        <v>196</v>
      </c>
      <c r="AB4" s="377" t="s">
        <v>197</v>
      </c>
      <c r="AC4" s="377" t="s">
        <v>198</v>
      </c>
      <c r="AD4" s="377" t="s">
        <v>199</v>
      </c>
      <c r="AE4" s="377" t="s">
        <v>195</v>
      </c>
      <c r="AF4" s="377" t="s">
        <v>177</v>
      </c>
      <c r="AG4" s="377" t="s">
        <v>178</v>
      </c>
      <c r="AH4" s="382">
        <v>36.520000000000003</v>
      </c>
      <c r="AI4" s="382">
        <v>7063.6</v>
      </c>
      <c r="AJ4" s="377" t="s">
        <v>179</v>
      </c>
      <c r="AK4" s="377" t="s">
        <v>180</v>
      </c>
      <c r="AL4" s="377" t="s">
        <v>181</v>
      </c>
      <c r="AM4" s="377" t="s">
        <v>192</v>
      </c>
      <c r="AN4" s="377" t="s">
        <v>66</v>
      </c>
      <c r="AO4" s="380">
        <v>80</v>
      </c>
      <c r="AP4" s="386">
        <v>1</v>
      </c>
      <c r="AQ4" s="386">
        <v>0</v>
      </c>
      <c r="AR4" s="384" t="s">
        <v>182</v>
      </c>
      <c r="AS4" s="388">
        <f t="shared" si="27"/>
        <v>0</v>
      </c>
      <c r="AT4">
        <f t="shared" si="28"/>
        <v>0</v>
      </c>
      <c r="AU4" s="388" t="str">
        <f>IF(AT4=0,"",IF(AND(AT4=1,M4="F",SUMIF(C2:C33,C4,AS2:AS33)&lt;=1),SUMIF(C2:C33,C4,AS2:AS33),IF(AND(AT4=1,M4="F",SUMIF(C2:C33,C4,AS2:AS33)&gt;1),1,"")))</f>
        <v/>
      </c>
      <c r="AV4" s="388" t="str">
        <f>IF(AT4=0,"",IF(AND(AT4=3,M4="F",SUMIF(C2:C33,C4,AS2:AS33)&lt;=1),SUMIF(C2:C33,C4,AS2:AS33),IF(AND(AT4=3,M4="F",SUMIF(C2:C33,C4,AS2:AS33)&gt;1),1,"")))</f>
        <v/>
      </c>
      <c r="AW4" s="388">
        <f>SUMIF(C2:C33,C4,O2:O33)</f>
        <v>4</v>
      </c>
      <c r="AX4" s="388">
        <f>IF(AND(M4="F",AS4&lt;&gt;0),SUMIF(C2:C33,C4,W2:W33),0)</f>
        <v>0</v>
      </c>
      <c r="AY4" s="388" t="str">
        <f t="shared" si="29"/>
        <v/>
      </c>
      <c r="AZ4" s="388" t="str">
        <f t="shared" si="30"/>
        <v/>
      </c>
      <c r="BA4" s="388">
        <f t="shared" si="31"/>
        <v>0</v>
      </c>
      <c r="BB4" s="388">
        <f t="shared" si="0"/>
        <v>0</v>
      </c>
      <c r="BC4" s="388">
        <f t="shared" si="1"/>
        <v>0</v>
      </c>
      <c r="BD4" s="388">
        <f t="shared" si="2"/>
        <v>0</v>
      </c>
      <c r="BE4" s="388">
        <f t="shared" si="3"/>
        <v>0</v>
      </c>
      <c r="BF4" s="388">
        <f t="shared" si="4"/>
        <v>0</v>
      </c>
      <c r="BG4" s="388">
        <f t="shared" si="5"/>
        <v>0</v>
      </c>
      <c r="BH4" s="388">
        <f t="shared" si="6"/>
        <v>0</v>
      </c>
      <c r="BI4" s="388">
        <f t="shared" si="7"/>
        <v>0</v>
      </c>
      <c r="BJ4" s="388">
        <f t="shared" si="8"/>
        <v>0</v>
      </c>
      <c r="BK4" s="388">
        <f t="shared" si="9"/>
        <v>0</v>
      </c>
      <c r="BL4" s="388">
        <f t="shared" si="32"/>
        <v>0</v>
      </c>
      <c r="BM4" s="388">
        <f t="shared" si="33"/>
        <v>0</v>
      </c>
      <c r="BN4" s="388">
        <f t="shared" si="10"/>
        <v>0</v>
      </c>
      <c r="BO4" s="388">
        <f t="shared" si="11"/>
        <v>0</v>
      </c>
      <c r="BP4" s="388">
        <f t="shared" si="12"/>
        <v>0</v>
      </c>
      <c r="BQ4" s="388">
        <f t="shared" si="13"/>
        <v>0</v>
      </c>
      <c r="BR4" s="388">
        <f t="shared" si="14"/>
        <v>0</v>
      </c>
      <c r="BS4" s="388">
        <f t="shared" si="15"/>
        <v>0</v>
      </c>
      <c r="BT4" s="388">
        <f t="shared" si="16"/>
        <v>0</v>
      </c>
      <c r="BU4" s="388">
        <f t="shared" si="17"/>
        <v>0</v>
      </c>
      <c r="BV4" s="388">
        <f t="shared" si="18"/>
        <v>0</v>
      </c>
      <c r="BW4" s="388">
        <f t="shared" si="19"/>
        <v>0</v>
      </c>
      <c r="BX4" s="388">
        <f t="shared" si="34"/>
        <v>0</v>
      </c>
      <c r="BY4" s="388">
        <f t="shared" si="35"/>
        <v>0</v>
      </c>
      <c r="BZ4" s="388">
        <f t="shared" si="36"/>
        <v>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0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0</v>
      </c>
      <c r="CI4" s="388">
        <f t="shared" si="26"/>
        <v>0</v>
      </c>
      <c r="CJ4" s="388">
        <f t="shared" si="39"/>
        <v>0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0125-00</v>
      </c>
    </row>
    <row r="5" spans="1:92" ht="15.75" thickBot="1">
      <c r="A5" s="377" t="s">
        <v>162</v>
      </c>
      <c r="B5" s="377" t="s">
        <v>163</v>
      </c>
      <c r="C5" s="377" t="s">
        <v>200</v>
      </c>
      <c r="D5" s="377" t="s">
        <v>201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202</v>
      </c>
      <c r="K5" s="377" t="s">
        <v>203</v>
      </c>
      <c r="L5" s="377" t="s">
        <v>181</v>
      </c>
      <c r="M5" s="377" t="s">
        <v>171</v>
      </c>
      <c r="N5" s="377" t="s">
        <v>172</v>
      </c>
      <c r="O5" s="380">
        <v>1</v>
      </c>
      <c r="P5" s="386">
        <v>0</v>
      </c>
      <c r="Q5" s="386">
        <v>0</v>
      </c>
      <c r="R5" s="381">
        <v>80</v>
      </c>
      <c r="S5" s="386">
        <v>0</v>
      </c>
      <c r="T5" s="381">
        <v>11728.08</v>
      </c>
      <c r="U5" s="381">
        <v>0</v>
      </c>
      <c r="V5" s="381">
        <v>3770.46</v>
      </c>
      <c r="W5" s="381">
        <v>0</v>
      </c>
      <c r="X5" s="381">
        <v>0</v>
      </c>
      <c r="Y5" s="381">
        <v>0</v>
      </c>
      <c r="Z5" s="381">
        <v>0</v>
      </c>
      <c r="AA5" s="377" t="s">
        <v>204</v>
      </c>
      <c r="AB5" s="377" t="s">
        <v>205</v>
      </c>
      <c r="AC5" s="377" t="s">
        <v>206</v>
      </c>
      <c r="AD5" s="377" t="s">
        <v>207</v>
      </c>
      <c r="AE5" s="377" t="s">
        <v>203</v>
      </c>
      <c r="AF5" s="377" t="s">
        <v>177</v>
      </c>
      <c r="AG5" s="377" t="s">
        <v>178</v>
      </c>
      <c r="AH5" s="382">
        <v>40.64</v>
      </c>
      <c r="AI5" s="382">
        <v>8864.2000000000007</v>
      </c>
      <c r="AJ5" s="377" t="s">
        <v>179</v>
      </c>
      <c r="AK5" s="377" t="s">
        <v>180</v>
      </c>
      <c r="AL5" s="377" t="s">
        <v>181</v>
      </c>
      <c r="AM5" s="377" t="s">
        <v>192</v>
      </c>
      <c r="AN5" s="377" t="s">
        <v>66</v>
      </c>
      <c r="AO5" s="380">
        <v>80</v>
      </c>
      <c r="AP5" s="386">
        <v>1</v>
      </c>
      <c r="AQ5" s="386">
        <v>0</v>
      </c>
      <c r="AR5" s="384" t="s">
        <v>182</v>
      </c>
      <c r="AS5" s="388">
        <f t="shared" si="27"/>
        <v>0</v>
      </c>
      <c r="AT5">
        <f t="shared" si="28"/>
        <v>0</v>
      </c>
      <c r="AU5" s="388" t="str">
        <f>IF(AT5=0,"",IF(AND(AT5=1,M5="F",SUMIF(C2:C33,C5,AS2:AS33)&lt;=1),SUMIF(C2:C33,C5,AS2:AS33),IF(AND(AT5=1,M5="F",SUMIF(C2:C33,C5,AS2:AS33)&gt;1),1,"")))</f>
        <v/>
      </c>
      <c r="AV5" s="388" t="str">
        <f>IF(AT5=0,"",IF(AND(AT5=3,M5="F",SUMIF(C2:C33,C5,AS2:AS33)&lt;=1),SUMIF(C2:C33,C5,AS2:AS33),IF(AND(AT5=3,M5="F",SUMIF(C2:C33,C5,AS2:AS33)&gt;1),1,"")))</f>
        <v/>
      </c>
      <c r="AW5" s="388">
        <f>SUMIF(C2:C33,C5,O2:O33)</f>
        <v>4</v>
      </c>
      <c r="AX5" s="388">
        <f>IF(AND(M5="F",AS5&lt;&gt;0),SUMIF(C2:C33,C5,W2:W33),0)</f>
        <v>0</v>
      </c>
      <c r="AY5" s="388" t="str">
        <f t="shared" si="29"/>
        <v/>
      </c>
      <c r="AZ5" s="388" t="str">
        <f t="shared" si="30"/>
        <v/>
      </c>
      <c r="BA5" s="388">
        <f t="shared" si="31"/>
        <v>0</v>
      </c>
      <c r="BB5" s="388">
        <f t="shared" si="0"/>
        <v>0</v>
      </c>
      <c r="BC5" s="388">
        <f t="shared" si="1"/>
        <v>0</v>
      </c>
      <c r="BD5" s="388">
        <f t="shared" si="2"/>
        <v>0</v>
      </c>
      <c r="BE5" s="388">
        <f t="shared" si="3"/>
        <v>0</v>
      </c>
      <c r="BF5" s="388">
        <f t="shared" si="4"/>
        <v>0</v>
      </c>
      <c r="BG5" s="388">
        <f t="shared" si="5"/>
        <v>0</v>
      </c>
      <c r="BH5" s="388">
        <f t="shared" si="6"/>
        <v>0</v>
      </c>
      <c r="BI5" s="388">
        <f t="shared" si="7"/>
        <v>0</v>
      </c>
      <c r="BJ5" s="388">
        <f t="shared" si="8"/>
        <v>0</v>
      </c>
      <c r="BK5" s="388">
        <f t="shared" si="9"/>
        <v>0</v>
      </c>
      <c r="BL5" s="388">
        <f t="shared" si="32"/>
        <v>0</v>
      </c>
      <c r="BM5" s="388">
        <f t="shared" si="33"/>
        <v>0</v>
      </c>
      <c r="BN5" s="388">
        <f t="shared" si="10"/>
        <v>0</v>
      </c>
      <c r="BO5" s="388">
        <f t="shared" si="11"/>
        <v>0</v>
      </c>
      <c r="BP5" s="388">
        <f t="shared" si="12"/>
        <v>0</v>
      </c>
      <c r="BQ5" s="388">
        <f t="shared" si="13"/>
        <v>0</v>
      </c>
      <c r="BR5" s="388">
        <f t="shared" si="14"/>
        <v>0</v>
      </c>
      <c r="BS5" s="388">
        <f t="shared" si="15"/>
        <v>0</v>
      </c>
      <c r="BT5" s="388">
        <f t="shared" si="16"/>
        <v>0</v>
      </c>
      <c r="BU5" s="388">
        <f t="shared" si="17"/>
        <v>0</v>
      </c>
      <c r="BV5" s="388">
        <f t="shared" si="18"/>
        <v>0</v>
      </c>
      <c r="BW5" s="388">
        <f t="shared" si="19"/>
        <v>0</v>
      </c>
      <c r="BX5" s="388">
        <f t="shared" si="34"/>
        <v>0</v>
      </c>
      <c r="BY5" s="388">
        <f t="shared" si="35"/>
        <v>0</v>
      </c>
      <c r="BZ5" s="388">
        <f t="shared" si="36"/>
        <v>0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0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0</v>
      </c>
      <c r="CI5" s="388">
        <f t="shared" si="26"/>
        <v>0</v>
      </c>
      <c r="CJ5" s="388">
        <f t="shared" si="39"/>
        <v>0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0125-00</v>
      </c>
    </row>
    <row r="6" spans="1:92" ht="15.75" thickBot="1">
      <c r="A6" s="377" t="s">
        <v>162</v>
      </c>
      <c r="B6" s="377" t="s">
        <v>163</v>
      </c>
      <c r="C6" s="377" t="s">
        <v>208</v>
      </c>
      <c r="D6" s="377" t="s">
        <v>209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210</v>
      </c>
      <c r="L6" s="377" t="s">
        <v>167</v>
      </c>
      <c r="M6" s="377" t="s">
        <v>171</v>
      </c>
      <c r="N6" s="377" t="s">
        <v>172</v>
      </c>
      <c r="O6" s="380">
        <v>1</v>
      </c>
      <c r="P6" s="386">
        <v>0.5</v>
      </c>
      <c r="Q6" s="386">
        <v>0.5</v>
      </c>
      <c r="R6" s="381">
        <v>80</v>
      </c>
      <c r="S6" s="386">
        <v>0.5</v>
      </c>
      <c r="T6" s="381">
        <v>27271.3</v>
      </c>
      <c r="U6" s="381">
        <v>0</v>
      </c>
      <c r="V6" s="381">
        <v>12902</v>
      </c>
      <c r="W6" s="381">
        <v>36649.599999999999</v>
      </c>
      <c r="X6" s="381">
        <v>13825.82</v>
      </c>
      <c r="Y6" s="381">
        <v>36649.599999999999</v>
      </c>
      <c r="Z6" s="381">
        <v>14128.31</v>
      </c>
      <c r="AA6" s="377" t="s">
        <v>211</v>
      </c>
      <c r="AB6" s="377" t="s">
        <v>212</v>
      </c>
      <c r="AC6" s="377" t="s">
        <v>213</v>
      </c>
      <c r="AD6" s="377" t="s">
        <v>214</v>
      </c>
      <c r="AE6" s="377" t="s">
        <v>210</v>
      </c>
      <c r="AF6" s="377" t="s">
        <v>177</v>
      </c>
      <c r="AG6" s="377" t="s">
        <v>178</v>
      </c>
      <c r="AH6" s="382">
        <v>35.24</v>
      </c>
      <c r="AI6" s="382">
        <v>24991.4</v>
      </c>
      <c r="AJ6" s="377" t="s">
        <v>179</v>
      </c>
      <c r="AK6" s="377" t="s">
        <v>180</v>
      </c>
      <c r="AL6" s="377" t="s">
        <v>181</v>
      </c>
      <c r="AM6" s="377" t="s">
        <v>192</v>
      </c>
      <c r="AN6" s="377" t="s">
        <v>66</v>
      </c>
      <c r="AO6" s="380">
        <v>80</v>
      </c>
      <c r="AP6" s="386">
        <v>1</v>
      </c>
      <c r="AQ6" s="386">
        <v>0.5</v>
      </c>
      <c r="AR6" s="384" t="s">
        <v>182</v>
      </c>
      <c r="AS6" s="388">
        <f t="shared" si="27"/>
        <v>0.5</v>
      </c>
      <c r="AT6">
        <f t="shared" si="28"/>
        <v>1</v>
      </c>
      <c r="AU6" s="388">
        <f>IF(AT6=0,"",IF(AND(AT6=1,M6="F",SUMIF(C2:C33,C6,AS2:AS33)&lt;=1),SUMIF(C2:C33,C6,AS2:AS33),IF(AND(AT6=1,M6="F",SUMIF(C2:C33,C6,AS2:AS33)&gt;1),1,"")))</f>
        <v>1</v>
      </c>
      <c r="AV6" s="388" t="str">
        <f>IF(AT6=0,"",IF(AND(AT6=3,M6="F",SUMIF(C2:C33,C6,AS2:AS33)&lt;=1),SUMIF(C2:C33,C6,AS2:AS33),IF(AND(AT6=3,M6="F",SUMIF(C2:C33,C6,AS2:AS33)&gt;1),1,"")))</f>
        <v/>
      </c>
      <c r="AW6" s="388">
        <f>SUMIF(C2:C33,C6,O2:O33)</f>
        <v>4</v>
      </c>
      <c r="AX6" s="388">
        <f>IF(AND(M6="F",AS6&lt;&gt;0),SUMIF(C2:C33,C6,W2:W33),0)</f>
        <v>73299.199999999997</v>
      </c>
      <c r="AY6" s="388">
        <f t="shared" si="29"/>
        <v>36649.599999999999</v>
      </c>
      <c r="AZ6" s="388" t="str">
        <f t="shared" si="30"/>
        <v/>
      </c>
      <c r="BA6" s="388">
        <f t="shared" si="31"/>
        <v>0</v>
      </c>
      <c r="BB6" s="388">
        <f t="shared" si="0"/>
        <v>6250</v>
      </c>
      <c r="BC6" s="388">
        <f t="shared" si="1"/>
        <v>0</v>
      </c>
      <c r="BD6" s="388">
        <f t="shared" si="2"/>
        <v>2272.2752</v>
      </c>
      <c r="BE6" s="388">
        <f t="shared" si="3"/>
        <v>531.41920000000005</v>
      </c>
      <c r="BF6" s="388">
        <f t="shared" si="4"/>
        <v>4375.9622399999998</v>
      </c>
      <c r="BG6" s="388">
        <f t="shared" si="5"/>
        <v>264.24361599999997</v>
      </c>
      <c r="BH6" s="388">
        <f t="shared" si="6"/>
        <v>0</v>
      </c>
      <c r="BI6" s="388">
        <f t="shared" si="7"/>
        <v>0</v>
      </c>
      <c r="BJ6" s="388">
        <f t="shared" si="8"/>
        <v>131.93856</v>
      </c>
      <c r="BK6" s="388">
        <f t="shared" si="9"/>
        <v>0</v>
      </c>
      <c r="BL6" s="388">
        <f t="shared" si="32"/>
        <v>7575.8388159999995</v>
      </c>
      <c r="BM6" s="388">
        <f t="shared" si="33"/>
        <v>0</v>
      </c>
      <c r="BN6" s="388">
        <f t="shared" si="10"/>
        <v>6875</v>
      </c>
      <c r="BO6" s="388">
        <f t="shared" si="11"/>
        <v>0</v>
      </c>
      <c r="BP6" s="388">
        <f t="shared" si="12"/>
        <v>2272.2752</v>
      </c>
      <c r="BQ6" s="388">
        <f t="shared" si="13"/>
        <v>531.41920000000005</v>
      </c>
      <c r="BR6" s="388">
        <f t="shared" si="14"/>
        <v>4097.4252799999995</v>
      </c>
      <c r="BS6" s="388">
        <f t="shared" si="15"/>
        <v>264.24361599999997</v>
      </c>
      <c r="BT6" s="388">
        <f t="shared" si="16"/>
        <v>0</v>
      </c>
      <c r="BU6" s="388">
        <f t="shared" si="17"/>
        <v>0</v>
      </c>
      <c r="BV6" s="388">
        <f t="shared" si="18"/>
        <v>87.959039999999987</v>
      </c>
      <c r="BW6" s="388">
        <f t="shared" si="19"/>
        <v>0</v>
      </c>
      <c r="BX6" s="388">
        <f t="shared" si="34"/>
        <v>7253.3223359999993</v>
      </c>
      <c r="BY6" s="388">
        <f t="shared" si="35"/>
        <v>0</v>
      </c>
      <c r="BZ6" s="388">
        <f t="shared" si="36"/>
        <v>625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-278.53696000000036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-43.979520000000001</v>
      </c>
      <c r="CI6" s="388">
        <f t="shared" si="26"/>
        <v>0</v>
      </c>
      <c r="CJ6" s="388">
        <f t="shared" si="39"/>
        <v>-322.51648000000034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0125-00</v>
      </c>
    </row>
    <row r="7" spans="1:92" ht="15.75" thickBot="1">
      <c r="A7" s="377" t="s">
        <v>162</v>
      </c>
      <c r="B7" s="377" t="s">
        <v>163</v>
      </c>
      <c r="C7" s="377" t="s">
        <v>215</v>
      </c>
      <c r="D7" s="377" t="s">
        <v>216</v>
      </c>
      <c r="E7" s="377" t="s">
        <v>217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218</v>
      </c>
      <c r="L7" s="377" t="s">
        <v>187</v>
      </c>
      <c r="M7" s="377" t="s">
        <v>219</v>
      </c>
      <c r="N7" s="377" t="s">
        <v>220</v>
      </c>
      <c r="O7" s="380">
        <v>0</v>
      </c>
      <c r="P7" s="386">
        <v>1</v>
      </c>
      <c r="Q7" s="386">
        <v>0</v>
      </c>
      <c r="R7" s="381">
        <v>0</v>
      </c>
      <c r="S7" s="386">
        <v>0</v>
      </c>
      <c r="T7" s="381">
        <v>5152</v>
      </c>
      <c r="U7" s="381">
        <v>0</v>
      </c>
      <c r="V7" s="381">
        <v>3494.18</v>
      </c>
      <c r="W7" s="381">
        <v>15180</v>
      </c>
      <c r="X7" s="381">
        <v>7614.9</v>
      </c>
      <c r="Y7" s="381">
        <v>15180</v>
      </c>
      <c r="Z7" s="381">
        <v>7614.9</v>
      </c>
      <c r="AA7" s="379"/>
      <c r="AB7" s="377" t="s">
        <v>45</v>
      </c>
      <c r="AC7" s="377" t="s">
        <v>45</v>
      </c>
      <c r="AD7" s="379"/>
      <c r="AE7" s="379"/>
      <c r="AF7" s="379"/>
      <c r="AG7" s="379"/>
      <c r="AH7" s="380">
        <v>0</v>
      </c>
      <c r="AI7" s="380">
        <v>0</v>
      </c>
      <c r="AJ7" s="379"/>
      <c r="AK7" s="379"/>
      <c r="AL7" s="377" t="s">
        <v>181</v>
      </c>
      <c r="AM7" s="379"/>
      <c r="AN7" s="379"/>
      <c r="AO7" s="380">
        <v>0</v>
      </c>
      <c r="AP7" s="386">
        <v>0</v>
      </c>
      <c r="AQ7" s="386">
        <v>0</v>
      </c>
      <c r="AR7" s="385"/>
      <c r="AS7" s="388">
        <f t="shared" si="27"/>
        <v>0</v>
      </c>
      <c r="AT7">
        <f t="shared" si="28"/>
        <v>0</v>
      </c>
      <c r="AU7" s="388" t="str">
        <f>IF(AT7=0,"",IF(AND(AT7=1,M7="F",SUMIF(C2:C33,C7,AS2:AS33)&lt;=1),SUMIF(C2:C33,C7,AS2:AS33),IF(AND(AT7=1,M7="F",SUMIF(C2:C33,C7,AS2:AS33)&gt;1),1,"")))</f>
        <v/>
      </c>
      <c r="AV7" s="388" t="str">
        <f>IF(AT7=0,"",IF(AND(AT7=3,M7="F",SUMIF(C2:C33,C7,AS2:AS33)&lt;=1),SUMIF(C2:C33,C7,AS2:AS33),IF(AND(AT7=3,M7="F",SUMIF(C2:C33,C7,AS2:AS33)&gt;1),1,"")))</f>
        <v/>
      </c>
      <c r="AW7" s="388">
        <f>SUMIF(C2:C33,C7,O2:O33)</f>
        <v>0</v>
      </c>
      <c r="AX7" s="388">
        <f>IF(AND(M7="F",AS7&lt;&gt;0),SUMIF(C2:C33,C7,W2:W33),0)</f>
        <v>0</v>
      </c>
      <c r="AY7" s="388" t="str">
        <f t="shared" si="29"/>
        <v/>
      </c>
      <c r="AZ7" s="388" t="str">
        <f t="shared" si="30"/>
        <v/>
      </c>
      <c r="BA7" s="388">
        <f t="shared" si="31"/>
        <v>0</v>
      </c>
      <c r="BB7" s="388">
        <f t="shared" si="0"/>
        <v>0</v>
      </c>
      <c r="BC7" s="388">
        <f t="shared" si="1"/>
        <v>0</v>
      </c>
      <c r="BD7" s="388">
        <f t="shared" si="2"/>
        <v>0</v>
      </c>
      <c r="BE7" s="388">
        <f t="shared" si="3"/>
        <v>0</v>
      </c>
      <c r="BF7" s="388">
        <f t="shared" si="4"/>
        <v>0</v>
      </c>
      <c r="BG7" s="388">
        <f t="shared" si="5"/>
        <v>0</v>
      </c>
      <c r="BH7" s="388">
        <f t="shared" si="6"/>
        <v>0</v>
      </c>
      <c r="BI7" s="388">
        <f t="shared" si="7"/>
        <v>0</v>
      </c>
      <c r="BJ7" s="388">
        <f t="shared" si="8"/>
        <v>0</v>
      </c>
      <c r="BK7" s="388">
        <f t="shared" si="9"/>
        <v>0</v>
      </c>
      <c r="BL7" s="388">
        <f t="shared" si="32"/>
        <v>0</v>
      </c>
      <c r="BM7" s="388">
        <f t="shared" si="33"/>
        <v>0</v>
      </c>
      <c r="BN7" s="388">
        <f t="shared" si="10"/>
        <v>0</v>
      </c>
      <c r="BO7" s="388">
        <f t="shared" si="11"/>
        <v>0</v>
      </c>
      <c r="BP7" s="388">
        <f t="shared" si="12"/>
        <v>0</v>
      </c>
      <c r="BQ7" s="388">
        <f t="shared" si="13"/>
        <v>0</v>
      </c>
      <c r="BR7" s="388">
        <f t="shared" si="14"/>
        <v>0</v>
      </c>
      <c r="BS7" s="388">
        <f t="shared" si="15"/>
        <v>0</v>
      </c>
      <c r="BT7" s="388">
        <f t="shared" si="16"/>
        <v>0</v>
      </c>
      <c r="BU7" s="388">
        <f t="shared" si="17"/>
        <v>0</v>
      </c>
      <c r="BV7" s="388">
        <f t="shared" si="18"/>
        <v>0</v>
      </c>
      <c r="BW7" s="388">
        <f t="shared" si="19"/>
        <v>0</v>
      </c>
      <c r="BX7" s="388">
        <f t="shared" si="34"/>
        <v>0</v>
      </c>
      <c r="BY7" s="388">
        <f t="shared" si="35"/>
        <v>0</v>
      </c>
      <c r="BZ7" s="388">
        <f t="shared" si="36"/>
        <v>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0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0</v>
      </c>
      <c r="CI7" s="388">
        <f t="shared" si="26"/>
        <v>0</v>
      </c>
      <c r="CJ7" s="388">
        <f t="shared" si="39"/>
        <v>0</v>
      </c>
      <c r="CK7" s="388" t="str">
        <f t="shared" si="40"/>
        <v/>
      </c>
      <c r="CL7" s="388">
        <f t="shared" si="41"/>
        <v>5152</v>
      </c>
      <c r="CM7" s="388">
        <f t="shared" si="42"/>
        <v>3494.18</v>
      </c>
      <c r="CN7" s="388" t="str">
        <f t="shared" si="43"/>
        <v>0348-00</v>
      </c>
    </row>
    <row r="8" spans="1:92" ht="15.75" thickBot="1">
      <c r="A8" s="377" t="s">
        <v>162</v>
      </c>
      <c r="B8" s="377" t="s">
        <v>163</v>
      </c>
      <c r="C8" s="377" t="s">
        <v>221</v>
      </c>
      <c r="D8" s="377" t="s">
        <v>216</v>
      </c>
      <c r="E8" s="377" t="s">
        <v>217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218</v>
      </c>
      <c r="L8" s="377" t="s">
        <v>187</v>
      </c>
      <c r="M8" s="377" t="s">
        <v>171</v>
      </c>
      <c r="N8" s="377" t="s">
        <v>172</v>
      </c>
      <c r="O8" s="380">
        <v>1</v>
      </c>
      <c r="P8" s="386">
        <v>1</v>
      </c>
      <c r="Q8" s="386">
        <v>1</v>
      </c>
      <c r="R8" s="381">
        <v>80</v>
      </c>
      <c r="S8" s="386">
        <v>1</v>
      </c>
      <c r="T8" s="381">
        <v>0</v>
      </c>
      <c r="U8" s="381">
        <v>0</v>
      </c>
      <c r="V8" s="381">
        <v>0</v>
      </c>
      <c r="W8" s="381">
        <v>54017.599999999999</v>
      </c>
      <c r="X8" s="381">
        <v>23665.96</v>
      </c>
      <c r="Y8" s="381">
        <v>54017.599999999999</v>
      </c>
      <c r="Z8" s="381">
        <v>24440.6</v>
      </c>
      <c r="AA8" s="377" t="s">
        <v>222</v>
      </c>
      <c r="AB8" s="377" t="s">
        <v>223</v>
      </c>
      <c r="AC8" s="377" t="s">
        <v>224</v>
      </c>
      <c r="AD8" s="377" t="s">
        <v>191</v>
      </c>
      <c r="AE8" s="377" t="s">
        <v>218</v>
      </c>
      <c r="AF8" s="377" t="s">
        <v>177</v>
      </c>
      <c r="AG8" s="377" t="s">
        <v>178</v>
      </c>
      <c r="AH8" s="382">
        <v>25.97</v>
      </c>
      <c r="AI8" s="380">
        <v>1036</v>
      </c>
      <c r="AJ8" s="377" t="s">
        <v>179</v>
      </c>
      <c r="AK8" s="377" t="s">
        <v>180</v>
      </c>
      <c r="AL8" s="377" t="s">
        <v>181</v>
      </c>
      <c r="AM8" s="377" t="s">
        <v>192</v>
      </c>
      <c r="AN8" s="377" t="s">
        <v>66</v>
      </c>
      <c r="AO8" s="380">
        <v>80</v>
      </c>
      <c r="AP8" s="386">
        <v>1</v>
      </c>
      <c r="AQ8" s="386">
        <v>1</v>
      </c>
      <c r="AR8" s="384" t="s">
        <v>182</v>
      </c>
      <c r="AS8" s="388">
        <f t="shared" si="27"/>
        <v>1</v>
      </c>
      <c r="AT8">
        <f t="shared" si="28"/>
        <v>1</v>
      </c>
      <c r="AU8" s="388">
        <f>IF(AT8=0,"",IF(AND(AT8=1,M8="F",SUMIF(C2:C33,C8,AS2:AS33)&lt;=1),SUMIF(C2:C33,C8,AS2:AS33),IF(AND(AT8=1,M8="F",SUMIF(C2:C33,C8,AS2:AS33)&gt;1),1,"")))</f>
        <v>1</v>
      </c>
      <c r="AV8" s="388" t="str">
        <f>IF(AT8=0,"",IF(AND(AT8=3,M8="F",SUMIF(C2:C33,C8,AS2:AS33)&lt;=1),SUMIF(C2:C33,C8,AS2:AS33),IF(AND(AT8=3,M8="F",SUMIF(C2:C33,C8,AS2:AS33)&gt;1),1,"")))</f>
        <v/>
      </c>
      <c r="AW8" s="388">
        <f>SUMIF(C2:C33,C8,O2:O33)</f>
        <v>1</v>
      </c>
      <c r="AX8" s="388">
        <f>IF(AND(M8="F",AS8&lt;&gt;0),SUMIF(C2:C33,C8,W2:W33),0)</f>
        <v>54017.599999999999</v>
      </c>
      <c r="AY8" s="388">
        <f t="shared" si="29"/>
        <v>54017.599999999999</v>
      </c>
      <c r="AZ8" s="388" t="str">
        <f t="shared" si="30"/>
        <v/>
      </c>
      <c r="BA8" s="388">
        <f t="shared" si="31"/>
        <v>0</v>
      </c>
      <c r="BB8" s="388">
        <f t="shared" si="0"/>
        <v>12500</v>
      </c>
      <c r="BC8" s="388">
        <f t="shared" si="1"/>
        <v>0</v>
      </c>
      <c r="BD8" s="388">
        <f t="shared" si="2"/>
        <v>3349.0911999999998</v>
      </c>
      <c r="BE8" s="388">
        <f t="shared" si="3"/>
        <v>783.25520000000006</v>
      </c>
      <c r="BF8" s="388">
        <f t="shared" si="4"/>
        <v>6449.7014399999998</v>
      </c>
      <c r="BG8" s="388">
        <f t="shared" si="5"/>
        <v>389.46689600000002</v>
      </c>
      <c r="BH8" s="388">
        <f t="shared" si="6"/>
        <v>0</v>
      </c>
      <c r="BI8" s="388">
        <f t="shared" si="7"/>
        <v>0</v>
      </c>
      <c r="BJ8" s="388">
        <f t="shared" si="8"/>
        <v>194.46335999999999</v>
      </c>
      <c r="BK8" s="388">
        <f t="shared" si="9"/>
        <v>0</v>
      </c>
      <c r="BL8" s="388">
        <f t="shared" si="32"/>
        <v>11165.978095999999</v>
      </c>
      <c r="BM8" s="388">
        <f t="shared" si="33"/>
        <v>0</v>
      </c>
      <c r="BN8" s="388">
        <f t="shared" si="10"/>
        <v>13750</v>
      </c>
      <c r="BO8" s="388">
        <f t="shared" si="11"/>
        <v>0</v>
      </c>
      <c r="BP8" s="388">
        <f t="shared" si="12"/>
        <v>3349.0911999999998</v>
      </c>
      <c r="BQ8" s="388">
        <f t="shared" si="13"/>
        <v>783.25520000000006</v>
      </c>
      <c r="BR8" s="388">
        <f t="shared" si="14"/>
        <v>6039.1676799999996</v>
      </c>
      <c r="BS8" s="388">
        <f t="shared" si="15"/>
        <v>389.46689600000002</v>
      </c>
      <c r="BT8" s="388">
        <f t="shared" si="16"/>
        <v>0</v>
      </c>
      <c r="BU8" s="388">
        <f t="shared" si="17"/>
        <v>0</v>
      </c>
      <c r="BV8" s="388">
        <f t="shared" si="18"/>
        <v>129.64223999999999</v>
      </c>
      <c r="BW8" s="388">
        <f t="shared" si="19"/>
        <v>0</v>
      </c>
      <c r="BX8" s="388">
        <f t="shared" si="34"/>
        <v>10690.623216</v>
      </c>
      <c r="BY8" s="388">
        <f t="shared" si="35"/>
        <v>0</v>
      </c>
      <c r="BZ8" s="388">
        <f t="shared" si="36"/>
        <v>1250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-410.53376000000048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-64.821120000000008</v>
      </c>
      <c r="CI8" s="388">
        <f t="shared" si="26"/>
        <v>0</v>
      </c>
      <c r="CJ8" s="388">
        <f t="shared" si="39"/>
        <v>-475.35488000000049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0348-00</v>
      </c>
    </row>
    <row r="9" spans="1:92" ht="15.75" thickBot="1">
      <c r="A9" s="377" t="s">
        <v>162</v>
      </c>
      <c r="B9" s="377" t="s">
        <v>163</v>
      </c>
      <c r="C9" s="377" t="s">
        <v>225</v>
      </c>
      <c r="D9" s="377" t="s">
        <v>216</v>
      </c>
      <c r="E9" s="377" t="s">
        <v>217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218</v>
      </c>
      <c r="L9" s="377" t="s">
        <v>187</v>
      </c>
      <c r="M9" s="377" t="s">
        <v>171</v>
      </c>
      <c r="N9" s="377" t="s">
        <v>172</v>
      </c>
      <c r="O9" s="380">
        <v>1</v>
      </c>
      <c r="P9" s="386">
        <v>1</v>
      </c>
      <c r="Q9" s="386">
        <v>1</v>
      </c>
      <c r="R9" s="381">
        <v>80</v>
      </c>
      <c r="S9" s="386">
        <v>1</v>
      </c>
      <c r="T9" s="381">
        <v>36925.58</v>
      </c>
      <c r="U9" s="381">
        <v>0</v>
      </c>
      <c r="V9" s="381">
        <v>16137.99</v>
      </c>
      <c r="W9" s="381">
        <v>55640</v>
      </c>
      <c r="X9" s="381">
        <v>24001.32</v>
      </c>
      <c r="Y9" s="381">
        <v>55640</v>
      </c>
      <c r="Z9" s="381">
        <v>24761.7</v>
      </c>
      <c r="AA9" s="377" t="s">
        <v>226</v>
      </c>
      <c r="AB9" s="377" t="s">
        <v>227</v>
      </c>
      <c r="AC9" s="377" t="s">
        <v>228</v>
      </c>
      <c r="AD9" s="377" t="s">
        <v>229</v>
      </c>
      <c r="AE9" s="377" t="s">
        <v>218</v>
      </c>
      <c r="AF9" s="377" t="s">
        <v>177</v>
      </c>
      <c r="AG9" s="377" t="s">
        <v>178</v>
      </c>
      <c r="AH9" s="382">
        <v>26.75</v>
      </c>
      <c r="AI9" s="380">
        <v>1656</v>
      </c>
      <c r="AJ9" s="377" t="s">
        <v>179</v>
      </c>
      <c r="AK9" s="377" t="s">
        <v>180</v>
      </c>
      <c r="AL9" s="377" t="s">
        <v>181</v>
      </c>
      <c r="AM9" s="377" t="s">
        <v>192</v>
      </c>
      <c r="AN9" s="377" t="s">
        <v>66</v>
      </c>
      <c r="AO9" s="380">
        <v>80</v>
      </c>
      <c r="AP9" s="386">
        <v>1</v>
      </c>
      <c r="AQ9" s="386">
        <v>1</v>
      </c>
      <c r="AR9" s="384" t="s">
        <v>182</v>
      </c>
      <c r="AS9" s="388">
        <f t="shared" si="27"/>
        <v>1</v>
      </c>
      <c r="AT9">
        <f t="shared" si="28"/>
        <v>1</v>
      </c>
      <c r="AU9" s="388">
        <f>IF(AT9=0,"",IF(AND(AT9=1,M9="F",SUMIF(C2:C33,C9,AS2:AS33)&lt;=1),SUMIF(C2:C33,C9,AS2:AS33),IF(AND(AT9=1,M9="F",SUMIF(C2:C33,C9,AS2:AS33)&gt;1),1,"")))</f>
        <v>1</v>
      </c>
      <c r="AV9" s="388" t="str">
        <f>IF(AT9=0,"",IF(AND(AT9=3,M9="F",SUMIF(C2:C33,C9,AS2:AS33)&lt;=1),SUMIF(C2:C33,C9,AS2:AS33),IF(AND(AT9=3,M9="F",SUMIF(C2:C33,C9,AS2:AS33)&gt;1),1,"")))</f>
        <v/>
      </c>
      <c r="AW9" s="388">
        <f>SUMIF(C2:C33,C9,O2:O33)</f>
        <v>3</v>
      </c>
      <c r="AX9" s="388">
        <f>IF(AND(M9="F",AS9&lt;&gt;0),SUMIF(C2:C33,C9,W2:W33),0)</f>
        <v>55640</v>
      </c>
      <c r="AY9" s="388">
        <f t="shared" si="29"/>
        <v>55640</v>
      </c>
      <c r="AZ9" s="388" t="str">
        <f t="shared" si="30"/>
        <v/>
      </c>
      <c r="BA9" s="388">
        <f t="shared" si="31"/>
        <v>0</v>
      </c>
      <c r="BB9" s="388">
        <f t="shared" si="0"/>
        <v>12500</v>
      </c>
      <c r="BC9" s="388">
        <f t="shared" si="1"/>
        <v>0</v>
      </c>
      <c r="BD9" s="388">
        <f t="shared" si="2"/>
        <v>3449.68</v>
      </c>
      <c r="BE9" s="388">
        <f t="shared" si="3"/>
        <v>806.78000000000009</v>
      </c>
      <c r="BF9" s="388">
        <f t="shared" si="4"/>
        <v>6643.4160000000002</v>
      </c>
      <c r="BG9" s="388">
        <f t="shared" si="5"/>
        <v>401.1644</v>
      </c>
      <c r="BH9" s="388">
        <f t="shared" si="6"/>
        <v>0</v>
      </c>
      <c r="BI9" s="388">
        <f t="shared" si="7"/>
        <v>0</v>
      </c>
      <c r="BJ9" s="388">
        <f t="shared" si="8"/>
        <v>200.304</v>
      </c>
      <c r="BK9" s="388">
        <f t="shared" si="9"/>
        <v>0</v>
      </c>
      <c r="BL9" s="388">
        <f t="shared" si="32"/>
        <v>11501.3444</v>
      </c>
      <c r="BM9" s="388">
        <f t="shared" si="33"/>
        <v>0</v>
      </c>
      <c r="BN9" s="388">
        <f t="shared" si="10"/>
        <v>13750</v>
      </c>
      <c r="BO9" s="388">
        <f t="shared" si="11"/>
        <v>0</v>
      </c>
      <c r="BP9" s="388">
        <f t="shared" si="12"/>
        <v>3449.68</v>
      </c>
      <c r="BQ9" s="388">
        <f t="shared" si="13"/>
        <v>806.78000000000009</v>
      </c>
      <c r="BR9" s="388">
        <f t="shared" si="14"/>
        <v>6220.5519999999997</v>
      </c>
      <c r="BS9" s="388">
        <f t="shared" si="15"/>
        <v>401.1644</v>
      </c>
      <c r="BT9" s="388">
        <f t="shared" si="16"/>
        <v>0</v>
      </c>
      <c r="BU9" s="388">
        <f t="shared" si="17"/>
        <v>0</v>
      </c>
      <c r="BV9" s="388">
        <f t="shared" si="18"/>
        <v>133.536</v>
      </c>
      <c r="BW9" s="388">
        <f t="shared" si="19"/>
        <v>0</v>
      </c>
      <c r="BX9" s="388">
        <f t="shared" si="34"/>
        <v>11011.712399999999</v>
      </c>
      <c r="BY9" s="388">
        <f t="shared" si="35"/>
        <v>0</v>
      </c>
      <c r="BZ9" s="388">
        <f t="shared" si="36"/>
        <v>1250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-422.86400000000054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-66.768000000000001</v>
      </c>
      <c r="CI9" s="388">
        <f t="shared" si="26"/>
        <v>0</v>
      </c>
      <c r="CJ9" s="388">
        <f t="shared" si="39"/>
        <v>-489.63200000000052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0348-00</v>
      </c>
    </row>
    <row r="10" spans="1:92" ht="15.75" thickBot="1">
      <c r="A10" s="377" t="s">
        <v>162</v>
      </c>
      <c r="B10" s="377" t="s">
        <v>163</v>
      </c>
      <c r="C10" s="377" t="s">
        <v>166</v>
      </c>
      <c r="D10" s="377" t="s">
        <v>216</v>
      </c>
      <c r="E10" s="377" t="s">
        <v>217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218</v>
      </c>
      <c r="L10" s="377" t="s">
        <v>187</v>
      </c>
      <c r="M10" s="377" t="s">
        <v>171</v>
      </c>
      <c r="N10" s="377" t="s">
        <v>172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39170.61</v>
      </c>
      <c r="U10" s="381">
        <v>0</v>
      </c>
      <c r="V10" s="381">
        <v>17921.95</v>
      </c>
      <c r="W10" s="381">
        <v>57241.599999999999</v>
      </c>
      <c r="X10" s="381">
        <v>24332.38</v>
      </c>
      <c r="Y10" s="381">
        <v>57241.599999999999</v>
      </c>
      <c r="Z10" s="381">
        <v>25078.66</v>
      </c>
      <c r="AA10" s="377" t="s">
        <v>230</v>
      </c>
      <c r="AB10" s="377" t="s">
        <v>231</v>
      </c>
      <c r="AC10" s="377" t="s">
        <v>232</v>
      </c>
      <c r="AD10" s="377" t="s">
        <v>233</v>
      </c>
      <c r="AE10" s="377" t="s">
        <v>218</v>
      </c>
      <c r="AF10" s="377" t="s">
        <v>177</v>
      </c>
      <c r="AG10" s="377" t="s">
        <v>178</v>
      </c>
      <c r="AH10" s="382">
        <v>27.52</v>
      </c>
      <c r="AI10" s="380">
        <v>2518</v>
      </c>
      <c r="AJ10" s="377" t="s">
        <v>179</v>
      </c>
      <c r="AK10" s="377" t="s">
        <v>180</v>
      </c>
      <c r="AL10" s="377" t="s">
        <v>181</v>
      </c>
      <c r="AM10" s="377" t="s">
        <v>192</v>
      </c>
      <c r="AN10" s="377" t="s">
        <v>66</v>
      </c>
      <c r="AO10" s="380">
        <v>80</v>
      </c>
      <c r="AP10" s="386">
        <v>1</v>
      </c>
      <c r="AQ10" s="386">
        <v>1</v>
      </c>
      <c r="AR10" s="384" t="s">
        <v>182</v>
      </c>
      <c r="AS10" s="388">
        <f t="shared" si="27"/>
        <v>1</v>
      </c>
      <c r="AT10">
        <f t="shared" si="28"/>
        <v>1</v>
      </c>
      <c r="AU10" s="388">
        <f>IF(AT10=0,"",IF(AND(AT10=1,M10="F",SUMIF(C2:C33,C10,AS2:AS33)&lt;=1),SUMIF(C2:C33,C10,AS2:AS33),IF(AND(AT10=1,M10="F",SUMIF(C2:C33,C10,AS2:AS33)&gt;1),1,"")))</f>
        <v>1</v>
      </c>
      <c r="AV10" s="388" t="str">
        <f>IF(AT10=0,"",IF(AND(AT10=3,M10="F",SUMIF(C2:C33,C10,AS2:AS33)&lt;=1),SUMIF(C2:C33,C10,AS2:AS33),IF(AND(AT10=3,M10="F",SUMIF(C2:C33,C10,AS2:AS33)&gt;1),1,"")))</f>
        <v/>
      </c>
      <c r="AW10" s="388">
        <f>SUMIF(C2:C33,C10,O2:O33)</f>
        <v>2</v>
      </c>
      <c r="AX10" s="388">
        <f>IF(AND(M10="F",AS10&lt;&gt;0),SUMIF(C2:C33,C10,W2:W33),0)</f>
        <v>57241.599999999999</v>
      </c>
      <c r="AY10" s="388">
        <f t="shared" si="29"/>
        <v>57241.599999999999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3548.9791999999998</v>
      </c>
      <c r="BE10" s="388">
        <f t="shared" si="3"/>
        <v>830.00319999999999</v>
      </c>
      <c r="BF10" s="388">
        <f t="shared" si="4"/>
        <v>6834.6470399999998</v>
      </c>
      <c r="BG10" s="388">
        <f t="shared" si="5"/>
        <v>412.71193599999998</v>
      </c>
      <c r="BH10" s="388">
        <f t="shared" si="6"/>
        <v>0</v>
      </c>
      <c r="BI10" s="388">
        <f t="shared" si="7"/>
        <v>0</v>
      </c>
      <c r="BJ10" s="388">
        <f t="shared" si="8"/>
        <v>206.06976</v>
      </c>
      <c r="BK10" s="388">
        <f t="shared" si="9"/>
        <v>0</v>
      </c>
      <c r="BL10" s="388">
        <f t="shared" si="32"/>
        <v>11832.411136000001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3548.9791999999998</v>
      </c>
      <c r="BQ10" s="388">
        <f t="shared" si="13"/>
        <v>830.00319999999999</v>
      </c>
      <c r="BR10" s="388">
        <f t="shared" si="14"/>
        <v>6399.6108799999993</v>
      </c>
      <c r="BS10" s="388">
        <f t="shared" si="15"/>
        <v>412.71193599999998</v>
      </c>
      <c r="BT10" s="388">
        <f t="shared" si="16"/>
        <v>0</v>
      </c>
      <c r="BU10" s="388">
        <f t="shared" si="17"/>
        <v>0</v>
      </c>
      <c r="BV10" s="388">
        <f t="shared" si="18"/>
        <v>137.37983999999997</v>
      </c>
      <c r="BW10" s="388">
        <f t="shared" si="19"/>
        <v>0</v>
      </c>
      <c r="BX10" s="388">
        <f t="shared" si="34"/>
        <v>11328.685055999998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-435.03616000000051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-68.689920000000001</v>
      </c>
      <c r="CI10" s="388">
        <f t="shared" si="26"/>
        <v>0</v>
      </c>
      <c r="CJ10" s="388">
        <f t="shared" si="39"/>
        <v>-503.72608000000048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0348-00</v>
      </c>
    </row>
    <row r="11" spans="1:92" ht="15.75" thickBot="1">
      <c r="A11" s="377" t="s">
        <v>162</v>
      </c>
      <c r="B11" s="377" t="s">
        <v>163</v>
      </c>
      <c r="C11" s="377" t="s">
        <v>183</v>
      </c>
      <c r="D11" s="377" t="s">
        <v>184</v>
      </c>
      <c r="E11" s="377" t="s">
        <v>217</v>
      </c>
      <c r="F11" s="378" t="s">
        <v>167</v>
      </c>
      <c r="G11" s="377" t="s">
        <v>168</v>
      </c>
      <c r="H11" s="379"/>
      <c r="I11" s="379"/>
      <c r="J11" s="377" t="s">
        <v>185</v>
      </c>
      <c r="K11" s="377" t="s">
        <v>186</v>
      </c>
      <c r="L11" s="377" t="s">
        <v>187</v>
      </c>
      <c r="M11" s="377" t="s">
        <v>171</v>
      </c>
      <c r="N11" s="377" t="s">
        <v>172</v>
      </c>
      <c r="O11" s="380">
        <v>1</v>
      </c>
      <c r="P11" s="386">
        <v>0</v>
      </c>
      <c r="Q11" s="386">
        <v>0</v>
      </c>
      <c r="R11" s="381">
        <v>80</v>
      </c>
      <c r="S11" s="386">
        <v>0</v>
      </c>
      <c r="T11" s="381">
        <v>6209.88</v>
      </c>
      <c r="U11" s="381">
        <v>0</v>
      </c>
      <c r="V11" s="381">
        <v>1111.75</v>
      </c>
      <c r="W11" s="381">
        <v>0</v>
      </c>
      <c r="X11" s="381">
        <v>0</v>
      </c>
      <c r="Y11" s="381">
        <v>0</v>
      </c>
      <c r="Z11" s="381">
        <v>0</v>
      </c>
      <c r="AA11" s="377" t="s">
        <v>188</v>
      </c>
      <c r="AB11" s="377" t="s">
        <v>189</v>
      </c>
      <c r="AC11" s="377" t="s">
        <v>190</v>
      </c>
      <c r="AD11" s="377" t="s">
        <v>191</v>
      </c>
      <c r="AE11" s="377" t="s">
        <v>186</v>
      </c>
      <c r="AF11" s="377" t="s">
        <v>177</v>
      </c>
      <c r="AG11" s="377" t="s">
        <v>178</v>
      </c>
      <c r="AH11" s="382">
        <v>26.24</v>
      </c>
      <c r="AI11" s="382">
        <v>13781.5</v>
      </c>
      <c r="AJ11" s="377" t="s">
        <v>179</v>
      </c>
      <c r="AK11" s="377" t="s">
        <v>180</v>
      </c>
      <c r="AL11" s="377" t="s">
        <v>181</v>
      </c>
      <c r="AM11" s="377" t="s">
        <v>192</v>
      </c>
      <c r="AN11" s="377" t="s">
        <v>66</v>
      </c>
      <c r="AO11" s="380">
        <v>80</v>
      </c>
      <c r="AP11" s="386">
        <v>1</v>
      </c>
      <c r="AQ11" s="386">
        <v>0</v>
      </c>
      <c r="AR11" s="384" t="s">
        <v>182</v>
      </c>
      <c r="AS11" s="388">
        <f t="shared" si="27"/>
        <v>0</v>
      </c>
      <c r="AT11">
        <f t="shared" si="28"/>
        <v>0</v>
      </c>
      <c r="AU11" s="388" t="str">
        <f>IF(AT11=0,"",IF(AND(AT11=1,M11="F",SUMIF(C2:C33,C11,AS2:AS33)&lt;=1),SUMIF(C2:C33,C11,AS2:AS33),IF(AND(AT11=1,M11="F",SUMIF(C2:C33,C11,AS2:AS33)&gt;1),1,"")))</f>
        <v/>
      </c>
      <c r="AV11" s="388" t="str">
        <f>IF(AT11=0,"",IF(AND(AT11=3,M11="F",SUMIF(C2:C33,C11,AS2:AS33)&lt;=1),SUMIF(C2:C33,C11,AS2:AS33),IF(AND(AT11=3,M11="F",SUMIF(C2:C33,C11,AS2:AS33)&gt;1),1,"")))</f>
        <v/>
      </c>
      <c r="AW11" s="388">
        <f>SUMIF(C2:C33,C11,O2:O33)</f>
        <v>4</v>
      </c>
      <c r="AX11" s="388">
        <f>IF(AND(M11="F",AS11&lt;&gt;0),SUMIF(C2:C33,C11,W2:W33),0)</f>
        <v>0</v>
      </c>
      <c r="AY11" s="388" t="str">
        <f t="shared" si="29"/>
        <v/>
      </c>
      <c r="AZ11" s="388" t="str">
        <f t="shared" si="30"/>
        <v/>
      </c>
      <c r="BA11" s="388">
        <f t="shared" si="31"/>
        <v>0</v>
      </c>
      <c r="BB11" s="388">
        <f t="shared" si="0"/>
        <v>0</v>
      </c>
      <c r="BC11" s="388">
        <f t="shared" si="1"/>
        <v>0</v>
      </c>
      <c r="BD11" s="388">
        <f t="shared" si="2"/>
        <v>0</v>
      </c>
      <c r="BE11" s="388">
        <f t="shared" si="3"/>
        <v>0</v>
      </c>
      <c r="BF11" s="388">
        <f t="shared" si="4"/>
        <v>0</v>
      </c>
      <c r="BG11" s="388">
        <f t="shared" si="5"/>
        <v>0</v>
      </c>
      <c r="BH11" s="388">
        <f t="shared" si="6"/>
        <v>0</v>
      </c>
      <c r="BI11" s="388">
        <f t="shared" si="7"/>
        <v>0</v>
      </c>
      <c r="BJ11" s="388">
        <f t="shared" si="8"/>
        <v>0</v>
      </c>
      <c r="BK11" s="388">
        <f t="shared" si="9"/>
        <v>0</v>
      </c>
      <c r="BL11" s="388">
        <f t="shared" si="32"/>
        <v>0</v>
      </c>
      <c r="BM11" s="388">
        <f t="shared" si="33"/>
        <v>0</v>
      </c>
      <c r="BN11" s="388">
        <f t="shared" si="10"/>
        <v>0</v>
      </c>
      <c r="BO11" s="388">
        <f t="shared" si="11"/>
        <v>0</v>
      </c>
      <c r="BP11" s="388">
        <f t="shared" si="12"/>
        <v>0</v>
      </c>
      <c r="BQ11" s="388">
        <f t="shared" si="13"/>
        <v>0</v>
      </c>
      <c r="BR11" s="388">
        <f t="shared" si="14"/>
        <v>0</v>
      </c>
      <c r="BS11" s="388">
        <f t="shared" si="15"/>
        <v>0</v>
      </c>
      <c r="BT11" s="388">
        <f t="shared" si="16"/>
        <v>0</v>
      </c>
      <c r="BU11" s="388">
        <f t="shared" si="17"/>
        <v>0</v>
      </c>
      <c r="BV11" s="388">
        <f t="shared" si="18"/>
        <v>0</v>
      </c>
      <c r="BW11" s="388">
        <f t="shared" si="19"/>
        <v>0</v>
      </c>
      <c r="BX11" s="388">
        <f t="shared" si="34"/>
        <v>0</v>
      </c>
      <c r="BY11" s="388">
        <f t="shared" si="35"/>
        <v>0</v>
      </c>
      <c r="BZ11" s="388">
        <f t="shared" si="36"/>
        <v>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0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0</v>
      </c>
      <c r="CI11" s="388">
        <f t="shared" si="26"/>
        <v>0</v>
      </c>
      <c r="CJ11" s="388">
        <f t="shared" si="39"/>
        <v>0</v>
      </c>
      <c r="CK11" s="388" t="str">
        <f t="shared" si="40"/>
        <v/>
      </c>
      <c r="CL11" s="388" t="str">
        <f t="shared" si="41"/>
        <v/>
      </c>
      <c r="CM11" s="388" t="str">
        <f t="shared" si="42"/>
        <v/>
      </c>
      <c r="CN11" s="388" t="str">
        <f t="shared" si="43"/>
        <v>0348-00</v>
      </c>
    </row>
    <row r="12" spans="1:92" ht="15.75" thickBot="1">
      <c r="A12" s="377" t="s">
        <v>162</v>
      </c>
      <c r="B12" s="377" t="s">
        <v>163</v>
      </c>
      <c r="C12" s="377" t="s">
        <v>193</v>
      </c>
      <c r="D12" s="377" t="s">
        <v>194</v>
      </c>
      <c r="E12" s="377" t="s">
        <v>217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195</v>
      </c>
      <c r="L12" s="377" t="s">
        <v>181</v>
      </c>
      <c r="M12" s="377" t="s">
        <v>171</v>
      </c>
      <c r="N12" s="377" t="s">
        <v>172</v>
      </c>
      <c r="O12" s="380">
        <v>1</v>
      </c>
      <c r="P12" s="386">
        <v>1</v>
      </c>
      <c r="Q12" s="386">
        <v>1</v>
      </c>
      <c r="R12" s="381">
        <v>80</v>
      </c>
      <c r="S12" s="386">
        <v>1</v>
      </c>
      <c r="T12" s="381">
        <v>43564.08</v>
      </c>
      <c r="U12" s="381">
        <v>0</v>
      </c>
      <c r="V12" s="381">
        <v>18558.669999999998</v>
      </c>
      <c r="W12" s="381">
        <v>75961.600000000006</v>
      </c>
      <c r="X12" s="381">
        <v>28202</v>
      </c>
      <c r="Y12" s="381">
        <v>75961.600000000006</v>
      </c>
      <c r="Z12" s="381">
        <v>28783.52</v>
      </c>
      <c r="AA12" s="377" t="s">
        <v>196</v>
      </c>
      <c r="AB12" s="377" t="s">
        <v>197</v>
      </c>
      <c r="AC12" s="377" t="s">
        <v>198</v>
      </c>
      <c r="AD12" s="377" t="s">
        <v>199</v>
      </c>
      <c r="AE12" s="377" t="s">
        <v>195</v>
      </c>
      <c r="AF12" s="377" t="s">
        <v>177</v>
      </c>
      <c r="AG12" s="377" t="s">
        <v>178</v>
      </c>
      <c r="AH12" s="382">
        <v>36.520000000000003</v>
      </c>
      <c r="AI12" s="382">
        <v>7063.6</v>
      </c>
      <c r="AJ12" s="377" t="s">
        <v>179</v>
      </c>
      <c r="AK12" s="377" t="s">
        <v>180</v>
      </c>
      <c r="AL12" s="377" t="s">
        <v>181</v>
      </c>
      <c r="AM12" s="377" t="s">
        <v>192</v>
      </c>
      <c r="AN12" s="377" t="s">
        <v>66</v>
      </c>
      <c r="AO12" s="380">
        <v>80</v>
      </c>
      <c r="AP12" s="386">
        <v>1</v>
      </c>
      <c r="AQ12" s="386">
        <v>1</v>
      </c>
      <c r="AR12" s="384" t="s">
        <v>182</v>
      </c>
      <c r="AS12" s="388">
        <f t="shared" si="27"/>
        <v>1</v>
      </c>
      <c r="AT12">
        <f t="shared" si="28"/>
        <v>1</v>
      </c>
      <c r="AU12" s="388">
        <f>IF(AT12=0,"",IF(AND(AT12=1,M12="F",SUMIF(C2:C33,C12,AS2:AS33)&lt;=1),SUMIF(C2:C33,C12,AS2:AS33),IF(AND(AT12=1,M12="F",SUMIF(C2:C33,C12,AS2:AS33)&gt;1),1,"")))</f>
        <v>1</v>
      </c>
      <c r="AV12" s="388" t="str">
        <f>IF(AT12=0,"",IF(AND(AT12=3,M12="F",SUMIF(C2:C33,C12,AS2:AS33)&lt;=1),SUMIF(C2:C33,C12,AS2:AS33),IF(AND(AT12=3,M12="F",SUMIF(C2:C33,C12,AS2:AS33)&gt;1),1,"")))</f>
        <v/>
      </c>
      <c r="AW12" s="388">
        <f>SUMIF(C2:C33,C12,O2:O33)</f>
        <v>4</v>
      </c>
      <c r="AX12" s="388">
        <f>IF(AND(M12="F",AS12&lt;&gt;0),SUMIF(C2:C33,C12,W2:W33),0)</f>
        <v>75961.600000000006</v>
      </c>
      <c r="AY12" s="388">
        <f t="shared" si="29"/>
        <v>75961.600000000006</v>
      </c>
      <c r="AZ12" s="388" t="str">
        <f t="shared" si="30"/>
        <v/>
      </c>
      <c r="BA12" s="388">
        <f t="shared" si="31"/>
        <v>0</v>
      </c>
      <c r="BB12" s="388">
        <f t="shared" si="0"/>
        <v>12500</v>
      </c>
      <c r="BC12" s="388">
        <f t="shared" si="1"/>
        <v>0</v>
      </c>
      <c r="BD12" s="388">
        <f t="shared" si="2"/>
        <v>4709.6192000000001</v>
      </c>
      <c r="BE12" s="388">
        <f t="shared" si="3"/>
        <v>1101.4432000000002</v>
      </c>
      <c r="BF12" s="388">
        <f t="shared" si="4"/>
        <v>9069.8150400000013</v>
      </c>
      <c r="BG12" s="388">
        <f t="shared" si="5"/>
        <v>547.6831360000001</v>
      </c>
      <c r="BH12" s="388">
        <f t="shared" si="6"/>
        <v>0</v>
      </c>
      <c r="BI12" s="388">
        <f t="shared" si="7"/>
        <v>0</v>
      </c>
      <c r="BJ12" s="388">
        <f t="shared" si="8"/>
        <v>273.46176000000003</v>
      </c>
      <c r="BK12" s="388">
        <f t="shared" si="9"/>
        <v>0</v>
      </c>
      <c r="BL12" s="388">
        <f t="shared" si="32"/>
        <v>15702.022336000002</v>
      </c>
      <c r="BM12" s="388">
        <f t="shared" si="33"/>
        <v>0</v>
      </c>
      <c r="BN12" s="388">
        <f t="shared" si="10"/>
        <v>13750</v>
      </c>
      <c r="BO12" s="388">
        <f t="shared" si="11"/>
        <v>0</v>
      </c>
      <c r="BP12" s="388">
        <f t="shared" si="12"/>
        <v>4709.6192000000001</v>
      </c>
      <c r="BQ12" s="388">
        <f t="shared" si="13"/>
        <v>1101.4432000000002</v>
      </c>
      <c r="BR12" s="388">
        <f t="shared" si="14"/>
        <v>8492.5068800000008</v>
      </c>
      <c r="BS12" s="388">
        <f t="shared" si="15"/>
        <v>547.6831360000001</v>
      </c>
      <c r="BT12" s="388">
        <f t="shared" si="16"/>
        <v>0</v>
      </c>
      <c r="BU12" s="388">
        <f t="shared" si="17"/>
        <v>0</v>
      </c>
      <c r="BV12" s="388">
        <f t="shared" si="18"/>
        <v>182.30784</v>
      </c>
      <c r="BW12" s="388">
        <f t="shared" si="19"/>
        <v>0</v>
      </c>
      <c r="BX12" s="388">
        <f t="shared" si="34"/>
        <v>15033.560256000001</v>
      </c>
      <c r="BY12" s="388">
        <f t="shared" si="35"/>
        <v>0</v>
      </c>
      <c r="BZ12" s="388">
        <f t="shared" si="36"/>
        <v>1250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-577.30816000000073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-91.153920000000014</v>
      </c>
      <c r="CI12" s="388">
        <f t="shared" si="26"/>
        <v>0</v>
      </c>
      <c r="CJ12" s="388">
        <f t="shared" si="39"/>
        <v>-668.4620800000007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0348-00</v>
      </c>
    </row>
    <row r="13" spans="1:92" ht="15.75" thickBot="1">
      <c r="A13" s="377" t="s">
        <v>162</v>
      </c>
      <c r="B13" s="377" t="s">
        <v>163</v>
      </c>
      <c r="C13" s="377" t="s">
        <v>200</v>
      </c>
      <c r="D13" s="377" t="s">
        <v>201</v>
      </c>
      <c r="E13" s="377" t="s">
        <v>217</v>
      </c>
      <c r="F13" s="378" t="s">
        <v>167</v>
      </c>
      <c r="G13" s="377" t="s">
        <v>168</v>
      </c>
      <c r="H13" s="379"/>
      <c r="I13" s="379"/>
      <c r="J13" s="377" t="s">
        <v>202</v>
      </c>
      <c r="K13" s="377" t="s">
        <v>203</v>
      </c>
      <c r="L13" s="377" t="s">
        <v>181</v>
      </c>
      <c r="M13" s="377" t="s">
        <v>171</v>
      </c>
      <c r="N13" s="377" t="s">
        <v>172</v>
      </c>
      <c r="O13" s="380">
        <v>1</v>
      </c>
      <c r="P13" s="386">
        <v>0.9</v>
      </c>
      <c r="Q13" s="386">
        <v>0.9</v>
      </c>
      <c r="R13" s="381">
        <v>80</v>
      </c>
      <c r="S13" s="386">
        <v>0.9</v>
      </c>
      <c r="T13" s="381">
        <v>46964.1</v>
      </c>
      <c r="U13" s="381">
        <v>0</v>
      </c>
      <c r="V13" s="381">
        <v>15961.91</v>
      </c>
      <c r="W13" s="381">
        <v>76078.080000000002</v>
      </c>
      <c r="X13" s="381">
        <v>26976.06</v>
      </c>
      <c r="Y13" s="381">
        <v>76078.080000000002</v>
      </c>
      <c r="Z13" s="381">
        <v>27431.58</v>
      </c>
      <c r="AA13" s="377" t="s">
        <v>204</v>
      </c>
      <c r="AB13" s="377" t="s">
        <v>205</v>
      </c>
      <c r="AC13" s="377" t="s">
        <v>206</v>
      </c>
      <c r="AD13" s="377" t="s">
        <v>207</v>
      </c>
      <c r="AE13" s="377" t="s">
        <v>203</v>
      </c>
      <c r="AF13" s="377" t="s">
        <v>177</v>
      </c>
      <c r="AG13" s="377" t="s">
        <v>178</v>
      </c>
      <c r="AH13" s="382">
        <v>40.64</v>
      </c>
      <c r="AI13" s="382">
        <v>8864.2000000000007</v>
      </c>
      <c r="AJ13" s="377" t="s">
        <v>179</v>
      </c>
      <c r="AK13" s="377" t="s">
        <v>180</v>
      </c>
      <c r="AL13" s="377" t="s">
        <v>181</v>
      </c>
      <c r="AM13" s="377" t="s">
        <v>192</v>
      </c>
      <c r="AN13" s="377" t="s">
        <v>66</v>
      </c>
      <c r="AO13" s="380">
        <v>80</v>
      </c>
      <c r="AP13" s="386">
        <v>1</v>
      </c>
      <c r="AQ13" s="386">
        <v>0.9</v>
      </c>
      <c r="AR13" s="384" t="s">
        <v>182</v>
      </c>
      <c r="AS13" s="388">
        <f t="shared" si="27"/>
        <v>0.9</v>
      </c>
      <c r="AT13">
        <f t="shared" si="28"/>
        <v>1</v>
      </c>
      <c r="AU13" s="388">
        <f>IF(AT13=0,"",IF(AND(AT13=1,M13="F",SUMIF(C2:C33,C13,AS2:AS33)&lt;=1),SUMIF(C2:C33,C13,AS2:AS33),IF(AND(AT13=1,M13="F",SUMIF(C2:C33,C13,AS2:AS33)&gt;1),1,"")))</f>
        <v>1</v>
      </c>
      <c r="AV13" s="388" t="str">
        <f>IF(AT13=0,"",IF(AND(AT13=3,M13="F",SUMIF(C2:C33,C13,AS2:AS33)&lt;=1),SUMIF(C2:C33,C13,AS2:AS33),IF(AND(AT13=3,M13="F",SUMIF(C2:C33,C13,AS2:AS33)&gt;1),1,"")))</f>
        <v/>
      </c>
      <c r="AW13" s="388">
        <f>SUMIF(C2:C33,C13,O2:O33)</f>
        <v>4</v>
      </c>
      <c r="AX13" s="388">
        <f>IF(AND(M13="F",AS13&lt;&gt;0),SUMIF(C2:C33,C13,W2:W33),0)</f>
        <v>84531.199999999997</v>
      </c>
      <c r="AY13" s="388">
        <f t="shared" si="29"/>
        <v>76078.080000000002</v>
      </c>
      <c r="AZ13" s="388" t="str">
        <f t="shared" si="30"/>
        <v/>
      </c>
      <c r="BA13" s="388">
        <f t="shared" si="31"/>
        <v>0</v>
      </c>
      <c r="BB13" s="388">
        <f t="shared" si="0"/>
        <v>11250</v>
      </c>
      <c r="BC13" s="388">
        <f t="shared" si="1"/>
        <v>0</v>
      </c>
      <c r="BD13" s="388">
        <f t="shared" si="2"/>
        <v>4716.8409600000005</v>
      </c>
      <c r="BE13" s="388">
        <f t="shared" si="3"/>
        <v>1103.1321600000001</v>
      </c>
      <c r="BF13" s="388">
        <f t="shared" si="4"/>
        <v>9083.7227520000015</v>
      </c>
      <c r="BG13" s="388">
        <f t="shared" si="5"/>
        <v>548.52295680000009</v>
      </c>
      <c r="BH13" s="388">
        <f t="shared" si="6"/>
        <v>0</v>
      </c>
      <c r="BI13" s="388">
        <f t="shared" si="7"/>
        <v>0</v>
      </c>
      <c r="BJ13" s="388">
        <f t="shared" si="8"/>
        <v>273.88108799999998</v>
      </c>
      <c r="BK13" s="388">
        <f t="shared" si="9"/>
        <v>0</v>
      </c>
      <c r="BL13" s="388">
        <f t="shared" si="32"/>
        <v>15726.099916800002</v>
      </c>
      <c r="BM13" s="388">
        <f t="shared" si="33"/>
        <v>0</v>
      </c>
      <c r="BN13" s="388">
        <f t="shared" si="10"/>
        <v>12375</v>
      </c>
      <c r="BO13" s="388">
        <f t="shared" si="11"/>
        <v>0</v>
      </c>
      <c r="BP13" s="388">
        <f t="shared" si="12"/>
        <v>4716.8409600000005</v>
      </c>
      <c r="BQ13" s="388">
        <f t="shared" si="13"/>
        <v>1103.1321600000001</v>
      </c>
      <c r="BR13" s="388">
        <f t="shared" si="14"/>
        <v>8505.5293440000005</v>
      </c>
      <c r="BS13" s="388">
        <f t="shared" si="15"/>
        <v>548.52295680000009</v>
      </c>
      <c r="BT13" s="388">
        <f t="shared" si="16"/>
        <v>0</v>
      </c>
      <c r="BU13" s="388">
        <f t="shared" si="17"/>
        <v>0</v>
      </c>
      <c r="BV13" s="388">
        <f t="shared" si="18"/>
        <v>182.58739199999999</v>
      </c>
      <c r="BW13" s="388">
        <f t="shared" si="19"/>
        <v>0</v>
      </c>
      <c r="BX13" s="388">
        <f t="shared" si="34"/>
        <v>15056.6128128</v>
      </c>
      <c r="BY13" s="388">
        <f t="shared" si="35"/>
        <v>0</v>
      </c>
      <c r="BZ13" s="388">
        <f t="shared" si="36"/>
        <v>1125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-578.19340800000077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-91.293696000000011</v>
      </c>
      <c r="CI13" s="388">
        <f t="shared" si="26"/>
        <v>0</v>
      </c>
      <c r="CJ13" s="388">
        <f t="shared" si="39"/>
        <v>-669.48710400000073</v>
      </c>
      <c r="CK13" s="388" t="str">
        <f t="shared" si="40"/>
        <v/>
      </c>
      <c r="CL13" s="388" t="str">
        <f t="shared" si="41"/>
        <v/>
      </c>
      <c r="CM13" s="388" t="str">
        <f t="shared" si="42"/>
        <v/>
      </c>
      <c r="CN13" s="388" t="str">
        <f t="shared" si="43"/>
        <v>0348-00</v>
      </c>
    </row>
    <row r="14" spans="1:92" ht="15.75" thickBot="1">
      <c r="A14" s="377" t="s">
        <v>162</v>
      </c>
      <c r="B14" s="377" t="s">
        <v>163</v>
      </c>
      <c r="C14" s="377" t="s">
        <v>208</v>
      </c>
      <c r="D14" s="377" t="s">
        <v>209</v>
      </c>
      <c r="E14" s="377" t="s">
        <v>217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210</v>
      </c>
      <c r="L14" s="377" t="s">
        <v>167</v>
      </c>
      <c r="M14" s="377" t="s">
        <v>171</v>
      </c>
      <c r="N14" s="377" t="s">
        <v>172</v>
      </c>
      <c r="O14" s="380">
        <v>1</v>
      </c>
      <c r="P14" s="386">
        <v>0</v>
      </c>
      <c r="Q14" s="386">
        <v>0</v>
      </c>
      <c r="R14" s="381">
        <v>80</v>
      </c>
      <c r="S14" s="386">
        <v>0</v>
      </c>
      <c r="T14" s="381">
        <v>5352.24</v>
      </c>
      <c r="U14" s="381">
        <v>0</v>
      </c>
      <c r="V14" s="381">
        <v>2297.5</v>
      </c>
      <c r="W14" s="381">
        <v>0</v>
      </c>
      <c r="X14" s="381">
        <v>0</v>
      </c>
      <c r="Y14" s="381">
        <v>0</v>
      </c>
      <c r="Z14" s="381">
        <v>0</v>
      </c>
      <c r="AA14" s="377" t="s">
        <v>211</v>
      </c>
      <c r="AB14" s="377" t="s">
        <v>212</v>
      </c>
      <c r="AC14" s="377" t="s">
        <v>213</v>
      </c>
      <c r="AD14" s="377" t="s">
        <v>214</v>
      </c>
      <c r="AE14" s="377" t="s">
        <v>210</v>
      </c>
      <c r="AF14" s="377" t="s">
        <v>177</v>
      </c>
      <c r="AG14" s="377" t="s">
        <v>178</v>
      </c>
      <c r="AH14" s="382">
        <v>35.24</v>
      </c>
      <c r="AI14" s="382">
        <v>24991.4</v>
      </c>
      <c r="AJ14" s="377" t="s">
        <v>179</v>
      </c>
      <c r="AK14" s="377" t="s">
        <v>180</v>
      </c>
      <c r="AL14" s="377" t="s">
        <v>181</v>
      </c>
      <c r="AM14" s="377" t="s">
        <v>192</v>
      </c>
      <c r="AN14" s="377" t="s">
        <v>66</v>
      </c>
      <c r="AO14" s="380">
        <v>80</v>
      </c>
      <c r="AP14" s="386">
        <v>1</v>
      </c>
      <c r="AQ14" s="386">
        <v>0</v>
      </c>
      <c r="AR14" s="384" t="s">
        <v>182</v>
      </c>
      <c r="AS14" s="388">
        <f t="shared" si="27"/>
        <v>0</v>
      </c>
      <c r="AT14">
        <f t="shared" si="28"/>
        <v>0</v>
      </c>
      <c r="AU14" s="388" t="str">
        <f>IF(AT14=0,"",IF(AND(AT14=1,M14="F",SUMIF(C2:C33,C14,AS2:AS33)&lt;=1),SUMIF(C2:C33,C14,AS2:AS33),IF(AND(AT14=1,M14="F",SUMIF(C2:C33,C14,AS2:AS33)&gt;1),1,"")))</f>
        <v/>
      </c>
      <c r="AV14" s="388" t="str">
        <f>IF(AT14=0,"",IF(AND(AT14=3,M14="F",SUMIF(C2:C33,C14,AS2:AS33)&lt;=1),SUMIF(C2:C33,C14,AS2:AS33),IF(AND(AT14=3,M14="F",SUMIF(C2:C33,C14,AS2:AS33)&gt;1),1,"")))</f>
        <v/>
      </c>
      <c r="AW14" s="388">
        <f>SUMIF(C2:C33,C14,O2:O33)</f>
        <v>4</v>
      </c>
      <c r="AX14" s="388">
        <f>IF(AND(M14="F",AS14&lt;&gt;0),SUMIF(C2:C33,C14,W2:W33),0)</f>
        <v>0</v>
      </c>
      <c r="AY14" s="388" t="str">
        <f t="shared" si="29"/>
        <v/>
      </c>
      <c r="AZ14" s="388" t="str">
        <f t="shared" si="30"/>
        <v/>
      </c>
      <c r="BA14" s="388">
        <f t="shared" si="31"/>
        <v>0</v>
      </c>
      <c r="BB14" s="388">
        <f t="shared" si="0"/>
        <v>0</v>
      </c>
      <c r="BC14" s="388">
        <f t="shared" si="1"/>
        <v>0</v>
      </c>
      <c r="BD14" s="388">
        <f t="shared" si="2"/>
        <v>0</v>
      </c>
      <c r="BE14" s="388">
        <f t="shared" si="3"/>
        <v>0</v>
      </c>
      <c r="BF14" s="388">
        <f t="shared" si="4"/>
        <v>0</v>
      </c>
      <c r="BG14" s="388">
        <f t="shared" si="5"/>
        <v>0</v>
      </c>
      <c r="BH14" s="388">
        <f t="shared" si="6"/>
        <v>0</v>
      </c>
      <c r="BI14" s="388">
        <f t="shared" si="7"/>
        <v>0</v>
      </c>
      <c r="BJ14" s="388">
        <f t="shared" si="8"/>
        <v>0</v>
      </c>
      <c r="BK14" s="388">
        <f t="shared" si="9"/>
        <v>0</v>
      </c>
      <c r="BL14" s="388">
        <f t="shared" si="32"/>
        <v>0</v>
      </c>
      <c r="BM14" s="388">
        <f t="shared" si="33"/>
        <v>0</v>
      </c>
      <c r="BN14" s="388">
        <f t="shared" si="10"/>
        <v>0</v>
      </c>
      <c r="BO14" s="388">
        <f t="shared" si="11"/>
        <v>0</v>
      </c>
      <c r="BP14" s="388">
        <f t="shared" si="12"/>
        <v>0</v>
      </c>
      <c r="BQ14" s="388">
        <f t="shared" si="13"/>
        <v>0</v>
      </c>
      <c r="BR14" s="388">
        <f t="shared" si="14"/>
        <v>0</v>
      </c>
      <c r="BS14" s="388">
        <f t="shared" si="15"/>
        <v>0</v>
      </c>
      <c r="BT14" s="388">
        <f t="shared" si="16"/>
        <v>0</v>
      </c>
      <c r="BU14" s="388">
        <f t="shared" si="17"/>
        <v>0</v>
      </c>
      <c r="BV14" s="388">
        <f t="shared" si="18"/>
        <v>0</v>
      </c>
      <c r="BW14" s="388">
        <f t="shared" si="19"/>
        <v>0</v>
      </c>
      <c r="BX14" s="388">
        <f t="shared" si="34"/>
        <v>0</v>
      </c>
      <c r="BY14" s="388">
        <f t="shared" si="35"/>
        <v>0</v>
      </c>
      <c r="BZ14" s="388">
        <f t="shared" si="36"/>
        <v>0</v>
      </c>
      <c r="CA14" s="388">
        <f t="shared" si="37"/>
        <v>0</v>
      </c>
      <c r="CB14" s="388">
        <f t="shared" si="38"/>
        <v>0</v>
      </c>
      <c r="CC14" s="388">
        <f t="shared" si="20"/>
        <v>0</v>
      </c>
      <c r="CD14" s="388">
        <f t="shared" si="21"/>
        <v>0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0</v>
      </c>
      <c r="CI14" s="388">
        <f t="shared" si="26"/>
        <v>0</v>
      </c>
      <c r="CJ14" s="388">
        <f t="shared" si="39"/>
        <v>0</v>
      </c>
      <c r="CK14" s="388" t="str">
        <f t="shared" si="40"/>
        <v/>
      </c>
      <c r="CL14" s="388" t="str">
        <f t="shared" si="41"/>
        <v/>
      </c>
      <c r="CM14" s="388" t="str">
        <f t="shared" si="42"/>
        <v/>
      </c>
      <c r="CN14" s="388" t="str">
        <f t="shared" si="43"/>
        <v>0348-00</v>
      </c>
    </row>
    <row r="15" spans="1:92" ht="15.75" thickBot="1">
      <c r="A15" s="377" t="s">
        <v>162</v>
      </c>
      <c r="B15" s="377" t="s">
        <v>163</v>
      </c>
      <c r="C15" s="377" t="s">
        <v>234</v>
      </c>
      <c r="D15" s="377" t="s">
        <v>216</v>
      </c>
      <c r="E15" s="377" t="s">
        <v>217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218</v>
      </c>
      <c r="L15" s="377" t="s">
        <v>187</v>
      </c>
      <c r="M15" s="377" t="s">
        <v>171</v>
      </c>
      <c r="N15" s="377" t="s">
        <v>172</v>
      </c>
      <c r="O15" s="380">
        <v>1</v>
      </c>
      <c r="P15" s="386">
        <v>1</v>
      </c>
      <c r="Q15" s="386">
        <v>1</v>
      </c>
      <c r="R15" s="381">
        <v>80</v>
      </c>
      <c r="S15" s="386">
        <v>1</v>
      </c>
      <c r="T15" s="381">
        <v>29510.74</v>
      </c>
      <c r="U15" s="381">
        <v>0</v>
      </c>
      <c r="V15" s="381">
        <v>13340.83</v>
      </c>
      <c r="W15" s="381">
        <v>58302.400000000001</v>
      </c>
      <c r="X15" s="381">
        <v>24551.66</v>
      </c>
      <c r="Y15" s="381">
        <v>58302.400000000001</v>
      </c>
      <c r="Z15" s="381">
        <v>25288.6</v>
      </c>
      <c r="AA15" s="377" t="s">
        <v>235</v>
      </c>
      <c r="AB15" s="377" t="s">
        <v>236</v>
      </c>
      <c r="AC15" s="377" t="s">
        <v>237</v>
      </c>
      <c r="AD15" s="377" t="s">
        <v>214</v>
      </c>
      <c r="AE15" s="377" t="s">
        <v>218</v>
      </c>
      <c r="AF15" s="377" t="s">
        <v>177</v>
      </c>
      <c r="AG15" s="377" t="s">
        <v>178</v>
      </c>
      <c r="AH15" s="382">
        <v>28.03</v>
      </c>
      <c r="AI15" s="382">
        <v>995.1</v>
      </c>
      <c r="AJ15" s="377" t="s">
        <v>179</v>
      </c>
      <c r="AK15" s="377" t="s">
        <v>180</v>
      </c>
      <c r="AL15" s="377" t="s">
        <v>181</v>
      </c>
      <c r="AM15" s="377" t="s">
        <v>192</v>
      </c>
      <c r="AN15" s="377" t="s">
        <v>66</v>
      </c>
      <c r="AO15" s="380">
        <v>80</v>
      </c>
      <c r="AP15" s="386">
        <v>1</v>
      </c>
      <c r="AQ15" s="386">
        <v>1</v>
      </c>
      <c r="AR15" s="384" t="s">
        <v>182</v>
      </c>
      <c r="AS15" s="388">
        <f t="shared" si="27"/>
        <v>1</v>
      </c>
      <c r="AT15">
        <f t="shared" si="28"/>
        <v>1</v>
      </c>
      <c r="AU15" s="388">
        <f>IF(AT15=0,"",IF(AND(AT15=1,M15="F",SUMIF(C2:C33,C15,AS2:AS33)&lt;=1),SUMIF(C2:C33,C15,AS2:AS33),IF(AND(AT15=1,M15="F",SUMIF(C2:C33,C15,AS2:AS33)&gt;1),1,"")))</f>
        <v>1</v>
      </c>
      <c r="AV15" s="388" t="str">
        <f>IF(AT15=0,"",IF(AND(AT15=3,M15="F",SUMIF(C2:C33,C15,AS2:AS33)&lt;=1),SUMIF(C2:C33,C15,AS2:AS33),IF(AND(AT15=3,M15="F",SUMIF(C2:C33,C15,AS2:AS33)&gt;1),1,"")))</f>
        <v/>
      </c>
      <c r="AW15" s="388">
        <f>SUMIF(C2:C33,C15,O2:O33)</f>
        <v>3</v>
      </c>
      <c r="AX15" s="388">
        <f>IF(AND(M15="F",AS15&lt;&gt;0),SUMIF(C2:C33,C15,W2:W33),0)</f>
        <v>58302.400000000001</v>
      </c>
      <c r="AY15" s="388">
        <f t="shared" si="29"/>
        <v>58302.400000000001</v>
      </c>
      <c r="AZ15" s="388" t="str">
        <f t="shared" si="30"/>
        <v/>
      </c>
      <c r="BA15" s="388">
        <f t="shared" si="31"/>
        <v>0</v>
      </c>
      <c r="BB15" s="388">
        <f t="shared" si="0"/>
        <v>12500</v>
      </c>
      <c r="BC15" s="388">
        <f t="shared" si="1"/>
        <v>0</v>
      </c>
      <c r="BD15" s="388">
        <f t="shared" si="2"/>
        <v>3614.7487999999998</v>
      </c>
      <c r="BE15" s="388">
        <f t="shared" si="3"/>
        <v>845.38480000000004</v>
      </c>
      <c r="BF15" s="388">
        <f t="shared" si="4"/>
        <v>6961.3065600000009</v>
      </c>
      <c r="BG15" s="388">
        <f t="shared" si="5"/>
        <v>420.36030400000004</v>
      </c>
      <c r="BH15" s="388">
        <f t="shared" si="6"/>
        <v>0</v>
      </c>
      <c r="BI15" s="388">
        <f t="shared" si="7"/>
        <v>0</v>
      </c>
      <c r="BJ15" s="388">
        <f t="shared" si="8"/>
        <v>209.88864000000001</v>
      </c>
      <c r="BK15" s="388">
        <f t="shared" si="9"/>
        <v>0</v>
      </c>
      <c r="BL15" s="388">
        <f t="shared" si="32"/>
        <v>12051.689104000001</v>
      </c>
      <c r="BM15" s="388">
        <f t="shared" si="33"/>
        <v>0</v>
      </c>
      <c r="BN15" s="388">
        <f t="shared" si="10"/>
        <v>13750</v>
      </c>
      <c r="BO15" s="388">
        <f t="shared" si="11"/>
        <v>0</v>
      </c>
      <c r="BP15" s="388">
        <f t="shared" si="12"/>
        <v>3614.7487999999998</v>
      </c>
      <c r="BQ15" s="388">
        <f t="shared" si="13"/>
        <v>845.38480000000004</v>
      </c>
      <c r="BR15" s="388">
        <f t="shared" si="14"/>
        <v>6518.2083199999997</v>
      </c>
      <c r="BS15" s="388">
        <f t="shared" si="15"/>
        <v>420.36030400000004</v>
      </c>
      <c r="BT15" s="388">
        <f t="shared" si="16"/>
        <v>0</v>
      </c>
      <c r="BU15" s="388">
        <f t="shared" si="17"/>
        <v>0</v>
      </c>
      <c r="BV15" s="388">
        <f t="shared" si="18"/>
        <v>139.92576</v>
      </c>
      <c r="BW15" s="388">
        <f t="shared" si="19"/>
        <v>0</v>
      </c>
      <c r="BX15" s="388">
        <f t="shared" si="34"/>
        <v>11538.627983999999</v>
      </c>
      <c r="BY15" s="388">
        <f t="shared" si="35"/>
        <v>0</v>
      </c>
      <c r="BZ15" s="388">
        <f t="shared" si="36"/>
        <v>1250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-443.09824000000054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-69.962880000000013</v>
      </c>
      <c r="CI15" s="388">
        <f t="shared" si="26"/>
        <v>0</v>
      </c>
      <c r="CJ15" s="388">
        <f t="shared" si="39"/>
        <v>-513.06112000000053</v>
      </c>
      <c r="CK15" s="388" t="str">
        <f t="shared" si="40"/>
        <v/>
      </c>
      <c r="CL15" s="388" t="str">
        <f t="shared" si="41"/>
        <v/>
      </c>
      <c r="CM15" s="388" t="str">
        <f t="shared" si="42"/>
        <v/>
      </c>
      <c r="CN15" s="388" t="str">
        <f t="shared" si="43"/>
        <v>0348-00</v>
      </c>
    </row>
    <row r="16" spans="1:92" ht="15.75" thickBot="1">
      <c r="A16" s="377" t="s">
        <v>162</v>
      </c>
      <c r="B16" s="377" t="s">
        <v>163</v>
      </c>
      <c r="C16" s="377" t="s">
        <v>164</v>
      </c>
      <c r="D16" s="377" t="s">
        <v>165</v>
      </c>
      <c r="E16" s="377" t="s">
        <v>217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170</v>
      </c>
      <c r="L16" s="377" t="s">
        <v>167</v>
      </c>
      <c r="M16" s="377" t="s">
        <v>171</v>
      </c>
      <c r="N16" s="377" t="s">
        <v>172</v>
      </c>
      <c r="O16" s="380">
        <v>1</v>
      </c>
      <c r="P16" s="386">
        <v>0</v>
      </c>
      <c r="Q16" s="386">
        <v>0</v>
      </c>
      <c r="R16" s="381">
        <v>80</v>
      </c>
      <c r="S16" s="386">
        <v>0</v>
      </c>
      <c r="T16" s="381">
        <v>0</v>
      </c>
      <c r="U16" s="381">
        <v>0</v>
      </c>
      <c r="V16" s="381">
        <v>-6.35</v>
      </c>
      <c r="W16" s="381">
        <v>0</v>
      </c>
      <c r="X16" s="381">
        <v>0</v>
      </c>
      <c r="Y16" s="381">
        <v>0</v>
      </c>
      <c r="Z16" s="381">
        <v>0</v>
      </c>
      <c r="AA16" s="377" t="s">
        <v>173</v>
      </c>
      <c r="AB16" s="377" t="s">
        <v>174</v>
      </c>
      <c r="AC16" s="377" t="s">
        <v>175</v>
      </c>
      <c r="AD16" s="377" t="s">
        <v>176</v>
      </c>
      <c r="AE16" s="377" t="s">
        <v>170</v>
      </c>
      <c r="AF16" s="377" t="s">
        <v>177</v>
      </c>
      <c r="AG16" s="377" t="s">
        <v>178</v>
      </c>
      <c r="AH16" s="382">
        <v>62.5</v>
      </c>
      <c r="AI16" s="380">
        <v>5671</v>
      </c>
      <c r="AJ16" s="377" t="s">
        <v>179</v>
      </c>
      <c r="AK16" s="377" t="s">
        <v>180</v>
      </c>
      <c r="AL16" s="377" t="s">
        <v>181</v>
      </c>
      <c r="AM16" s="377" t="s">
        <v>181</v>
      </c>
      <c r="AN16" s="377" t="s">
        <v>66</v>
      </c>
      <c r="AO16" s="380">
        <v>80</v>
      </c>
      <c r="AP16" s="386">
        <v>1</v>
      </c>
      <c r="AQ16" s="386">
        <v>0</v>
      </c>
      <c r="AR16" s="384" t="s">
        <v>182</v>
      </c>
      <c r="AS16" s="388">
        <f t="shared" si="27"/>
        <v>0</v>
      </c>
      <c r="AT16">
        <f t="shared" si="28"/>
        <v>0</v>
      </c>
      <c r="AU16" s="388" t="str">
        <f>IF(AT16=0,"",IF(AND(AT16=1,M16="F",SUMIF(C2:C33,C16,AS2:AS33)&lt;=1),SUMIF(C2:C33,C16,AS2:AS33),IF(AND(AT16=1,M16="F",SUMIF(C2:C33,C16,AS2:AS33)&gt;1),1,"")))</f>
        <v/>
      </c>
      <c r="AV16" s="388" t="str">
        <f>IF(AT16=0,"",IF(AND(AT16=3,M16="F",SUMIF(C2:C33,C16,AS2:AS33)&lt;=1),SUMIF(C2:C33,C16,AS2:AS33),IF(AND(AT16=3,M16="F",SUMIF(C2:C33,C16,AS2:AS33)&gt;1),1,"")))</f>
        <v/>
      </c>
      <c r="AW16" s="388">
        <f>SUMIF(C2:C33,C16,O2:O33)</f>
        <v>4</v>
      </c>
      <c r="AX16" s="388">
        <f>IF(AND(M16="F",AS16&lt;&gt;0),SUMIF(C2:C33,C16,W2:W33),0)</f>
        <v>0</v>
      </c>
      <c r="AY16" s="388" t="str">
        <f t="shared" si="29"/>
        <v/>
      </c>
      <c r="AZ16" s="388" t="str">
        <f t="shared" si="30"/>
        <v/>
      </c>
      <c r="BA16" s="388">
        <f t="shared" si="31"/>
        <v>0</v>
      </c>
      <c r="BB16" s="388">
        <f t="shared" si="0"/>
        <v>0</v>
      </c>
      <c r="BC16" s="388">
        <f t="shared" si="1"/>
        <v>0</v>
      </c>
      <c r="BD16" s="388">
        <f t="shared" si="2"/>
        <v>0</v>
      </c>
      <c r="BE16" s="388">
        <f t="shared" si="3"/>
        <v>0</v>
      </c>
      <c r="BF16" s="388">
        <f t="shared" si="4"/>
        <v>0</v>
      </c>
      <c r="BG16" s="388">
        <f t="shared" si="5"/>
        <v>0</v>
      </c>
      <c r="BH16" s="388">
        <f t="shared" si="6"/>
        <v>0</v>
      </c>
      <c r="BI16" s="388">
        <f t="shared" si="7"/>
        <v>0</v>
      </c>
      <c r="BJ16" s="388">
        <f t="shared" si="8"/>
        <v>0</v>
      </c>
      <c r="BK16" s="388">
        <f t="shared" si="9"/>
        <v>0</v>
      </c>
      <c r="BL16" s="388">
        <f t="shared" si="32"/>
        <v>0</v>
      </c>
      <c r="BM16" s="388">
        <f t="shared" si="33"/>
        <v>0</v>
      </c>
      <c r="BN16" s="388">
        <f t="shared" si="10"/>
        <v>0</v>
      </c>
      <c r="BO16" s="388">
        <f t="shared" si="11"/>
        <v>0</v>
      </c>
      <c r="BP16" s="388">
        <f t="shared" si="12"/>
        <v>0</v>
      </c>
      <c r="BQ16" s="388">
        <f t="shared" si="13"/>
        <v>0</v>
      </c>
      <c r="BR16" s="388">
        <f t="shared" si="14"/>
        <v>0</v>
      </c>
      <c r="BS16" s="388">
        <f t="shared" si="15"/>
        <v>0</v>
      </c>
      <c r="BT16" s="388">
        <f t="shared" si="16"/>
        <v>0</v>
      </c>
      <c r="BU16" s="388">
        <f t="shared" si="17"/>
        <v>0</v>
      </c>
      <c r="BV16" s="388">
        <f t="shared" si="18"/>
        <v>0</v>
      </c>
      <c r="BW16" s="388">
        <f t="shared" si="19"/>
        <v>0</v>
      </c>
      <c r="BX16" s="388">
        <f t="shared" si="34"/>
        <v>0</v>
      </c>
      <c r="BY16" s="388">
        <f t="shared" si="35"/>
        <v>0</v>
      </c>
      <c r="BZ16" s="388">
        <f t="shared" si="36"/>
        <v>0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0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0</v>
      </c>
      <c r="CI16" s="388">
        <f t="shared" si="26"/>
        <v>0</v>
      </c>
      <c r="CJ16" s="388">
        <f t="shared" si="39"/>
        <v>0</v>
      </c>
      <c r="CK16" s="388" t="str">
        <f t="shared" si="40"/>
        <v/>
      </c>
      <c r="CL16" s="388" t="str">
        <f t="shared" si="41"/>
        <v/>
      </c>
      <c r="CM16" s="388" t="str">
        <f t="shared" si="42"/>
        <v/>
      </c>
      <c r="CN16" s="388" t="str">
        <f t="shared" si="43"/>
        <v>0348-00</v>
      </c>
    </row>
    <row r="17" spans="1:92" ht="15.75" thickBot="1">
      <c r="A17" s="377" t="s">
        <v>162</v>
      </c>
      <c r="B17" s="377" t="s">
        <v>163</v>
      </c>
      <c r="C17" s="377" t="s">
        <v>225</v>
      </c>
      <c r="D17" s="377" t="s">
        <v>216</v>
      </c>
      <c r="E17" s="377" t="s">
        <v>238</v>
      </c>
      <c r="F17" s="383" t="s">
        <v>239</v>
      </c>
      <c r="G17" s="377" t="s">
        <v>168</v>
      </c>
      <c r="H17" s="379"/>
      <c r="I17" s="379"/>
      <c r="J17" s="377" t="s">
        <v>169</v>
      </c>
      <c r="K17" s="377" t="s">
        <v>218</v>
      </c>
      <c r="L17" s="377" t="s">
        <v>187</v>
      </c>
      <c r="M17" s="377" t="s">
        <v>171</v>
      </c>
      <c r="N17" s="377" t="s">
        <v>172</v>
      </c>
      <c r="O17" s="380">
        <v>1</v>
      </c>
      <c r="P17" s="386">
        <v>0</v>
      </c>
      <c r="Q17" s="386">
        <v>0</v>
      </c>
      <c r="R17" s="381">
        <v>80</v>
      </c>
      <c r="S17" s="386">
        <v>0</v>
      </c>
      <c r="T17" s="381">
        <v>10909.79</v>
      </c>
      <c r="U17" s="381">
        <v>0</v>
      </c>
      <c r="V17" s="381">
        <v>4658.57</v>
      </c>
      <c r="W17" s="381">
        <v>0</v>
      </c>
      <c r="X17" s="381">
        <v>0</v>
      </c>
      <c r="Y17" s="381">
        <v>0</v>
      </c>
      <c r="Z17" s="381">
        <v>0</v>
      </c>
      <c r="AA17" s="377" t="s">
        <v>226</v>
      </c>
      <c r="AB17" s="377" t="s">
        <v>227</v>
      </c>
      <c r="AC17" s="377" t="s">
        <v>228</v>
      </c>
      <c r="AD17" s="377" t="s">
        <v>229</v>
      </c>
      <c r="AE17" s="377" t="s">
        <v>218</v>
      </c>
      <c r="AF17" s="377" t="s">
        <v>177</v>
      </c>
      <c r="AG17" s="377" t="s">
        <v>178</v>
      </c>
      <c r="AH17" s="382">
        <v>26.75</v>
      </c>
      <c r="AI17" s="380">
        <v>1656</v>
      </c>
      <c r="AJ17" s="377" t="s">
        <v>179</v>
      </c>
      <c r="AK17" s="377" t="s">
        <v>180</v>
      </c>
      <c r="AL17" s="377" t="s">
        <v>181</v>
      </c>
      <c r="AM17" s="377" t="s">
        <v>192</v>
      </c>
      <c r="AN17" s="377" t="s">
        <v>66</v>
      </c>
      <c r="AO17" s="380">
        <v>80</v>
      </c>
      <c r="AP17" s="386">
        <v>1</v>
      </c>
      <c r="AQ17" s="386">
        <v>0</v>
      </c>
      <c r="AR17" s="384" t="s">
        <v>182</v>
      </c>
      <c r="AS17" s="388">
        <f t="shared" si="27"/>
        <v>0</v>
      </c>
      <c r="AT17">
        <f t="shared" si="28"/>
        <v>0</v>
      </c>
      <c r="AU17" s="388" t="str">
        <f>IF(AT17=0,"",IF(AND(AT17=1,M17="F",SUMIF(C2:C33,C17,AS2:AS33)&lt;=1),SUMIF(C2:C33,C17,AS2:AS33),IF(AND(AT17=1,M17="F",SUMIF(C2:C33,C17,AS2:AS33)&gt;1),1,"")))</f>
        <v/>
      </c>
      <c r="AV17" s="388" t="str">
        <f>IF(AT17=0,"",IF(AND(AT17=3,M17="F",SUMIF(C2:C33,C17,AS2:AS33)&lt;=1),SUMIF(C2:C33,C17,AS2:AS33),IF(AND(AT17=3,M17="F",SUMIF(C2:C33,C17,AS2:AS33)&gt;1),1,"")))</f>
        <v/>
      </c>
      <c r="AW17" s="388">
        <f>SUMIF(C2:C33,C17,O2:O33)</f>
        <v>3</v>
      </c>
      <c r="AX17" s="388">
        <f>IF(AND(M17="F",AS17&lt;&gt;0),SUMIF(C2:C33,C17,W2:W33),0)</f>
        <v>0</v>
      </c>
      <c r="AY17" s="388" t="str">
        <f t="shared" si="29"/>
        <v/>
      </c>
      <c r="AZ17" s="388" t="str">
        <f t="shared" si="30"/>
        <v/>
      </c>
      <c r="BA17" s="388">
        <f t="shared" si="31"/>
        <v>0</v>
      </c>
      <c r="BB17" s="388">
        <f t="shared" si="0"/>
        <v>0</v>
      </c>
      <c r="BC17" s="388">
        <f t="shared" si="1"/>
        <v>0</v>
      </c>
      <c r="BD17" s="388">
        <f t="shared" si="2"/>
        <v>0</v>
      </c>
      <c r="BE17" s="388">
        <f t="shared" si="3"/>
        <v>0</v>
      </c>
      <c r="BF17" s="388">
        <f t="shared" si="4"/>
        <v>0</v>
      </c>
      <c r="BG17" s="388">
        <f t="shared" si="5"/>
        <v>0</v>
      </c>
      <c r="BH17" s="388">
        <f t="shared" si="6"/>
        <v>0</v>
      </c>
      <c r="BI17" s="388">
        <f t="shared" si="7"/>
        <v>0</v>
      </c>
      <c r="BJ17" s="388">
        <f t="shared" si="8"/>
        <v>0</v>
      </c>
      <c r="BK17" s="388">
        <f t="shared" si="9"/>
        <v>0</v>
      </c>
      <c r="BL17" s="388">
        <f t="shared" si="32"/>
        <v>0</v>
      </c>
      <c r="BM17" s="388">
        <f t="shared" si="33"/>
        <v>0</v>
      </c>
      <c r="BN17" s="388">
        <f t="shared" si="10"/>
        <v>0</v>
      </c>
      <c r="BO17" s="388">
        <f t="shared" si="11"/>
        <v>0</v>
      </c>
      <c r="BP17" s="388">
        <f t="shared" si="12"/>
        <v>0</v>
      </c>
      <c r="BQ17" s="388">
        <f t="shared" si="13"/>
        <v>0</v>
      </c>
      <c r="BR17" s="388">
        <f t="shared" si="14"/>
        <v>0</v>
      </c>
      <c r="BS17" s="388">
        <f t="shared" si="15"/>
        <v>0</v>
      </c>
      <c r="BT17" s="388">
        <f t="shared" si="16"/>
        <v>0</v>
      </c>
      <c r="BU17" s="388">
        <f t="shared" si="17"/>
        <v>0</v>
      </c>
      <c r="BV17" s="388">
        <f t="shared" si="18"/>
        <v>0</v>
      </c>
      <c r="BW17" s="388">
        <f t="shared" si="19"/>
        <v>0</v>
      </c>
      <c r="BX17" s="388">
        <f t="shared" si="34"/>
        <v>0</v>
      </c>
      <c r="BY17" s="388">
        <f t="shared" si="35"/>
        <v>0</v>
      </c>
      <c r="BZ17" s="388">
        <f t="shared" si="36"/>
        <v>0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0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0</v>
      </c>
      <c r="CI17" s="388">
        <f t="shared" si="26"/>
        <v>0</v>
      </c>
      <c r="CJ17" s="388">
        <f t="shared" si="39"/>
        <v>0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0494-03</v>
      </c>
    </row>
    <row r="18" spans="1:92" ht="15.75" thickBot="1">
      <c r="A18" s="377" t="s">
        <v>162</v>
      </c>
      <c r="B18" s="377" t="s">
        <v>163</v>
      </c>
      <c r="C18" s="377" t="s">
        <v>166</v>
      </c>
      <c r="D18" s="377" t="s">
        <v>216</v>
      </c>
      <c r="E18" s="377" t="s">
        <v>238</v>
      </c>
      <c r="F18" s="383" t="s">
        <v>239</v>
      </c>
      <c r="G18" s="377" t="s">
        <v>168</v>
      </c>
      <c r="H18" s="379"/>
      <c r="I18" s="379"/>
      <c r="J18" s="377" t="s">
        <v>169</v>
      </c>
      <c r="K18" s="377" t="s">
        <v>218</v>
      </c>
      <c r="L18" s="377" t="s">
        <v>187</v>
      </c>
      <c r="M18" s="377" t="s">
        <v>171</v>
      </c>
      <c r="N18" s="377" t="s">
        <v>172</v>
      </c>
      <c r="O18" s="380">
        <v>1</v>
      </c>
      <c r="P18" s="386">
        <v>0</v>
      </c>
      <c r="Q18" s="386">
        <v>0</v>
      </c>
      <c r="R18" s="381">
        <v>80</v>
      </c>
      <c r="S18" s="386">
        <v>0</v>
      </c>
      <c r="T18" s="381">
        <v>11828.94</v>
      </c>
      <c r="U18" s="381">
        <v>0</v>
      </c>
      <c r="V18" s="381">
        <v>4509.7700000000004</v>
      </c>
      <c r="W18" s="381">
        <v>0</v>
      </c>
      <c r="X18" s="381">
        <v>0</v>
      </c>
      <c r="Y18" s="381">
        <v>0</v>
      </c>
      <c r="Z18" s="381">
        <v>0</v>
      </c>
      <c r="AA18" s="377" t="s">
        <v>230</v>
      </c>
      <c r="AB18" s="377" t="s">
        <v>231</v>
      </c>
      <c r="AC18" s="377" t="s">
        <v>232</v>
      </c>
      <c r="AD18" s="377" t="s">
        <v>233</v>
      </c>
      <c r="AE18" s="377" t="s">
        <v>218</v>
      </c>
      <c r="AF18" s="377" t="s">
        <v>177</v>
      </c>
      <c r="AG18" s="377" t="s">
        <v>178</v>
      </c>
      <c r="AH18" s="382">
        <v>27.52</v>
      </c>
      <c r="AI18" s="380">
        <v>2518</v>
      </c>
      <c r="AJ18" s="377" t="s">
        <v>179</v>
      </c>
      <c r="AK18" s="377" t="s">
        <v>180</v>
      </c>
      <c r="AL18" s="377" t="s">
        <v>181</v>
      </c>
      <c r="AM18" s="377" t="s">
        <v>192</v>
      </c>
      <c r="AN18" s="377" t="s">
        <v>66</v>
      </c>
      <c r="AO18" s="380">
        <v>80</v>
      </c>
      <c r="AP18" s="386">
        <v>1</v>
      </c>
      <c r="AQ18" s="386">
        <v>0</v>
      </c>
      <c r="AR18" s="384" t="s">
        <v>182</v>
      </c>
      <c r="AS18" s="388">
        <f t="shared" si="27"/>
        <v>0</v>
      </c>
      <c r="AT18">
        <f t="shared" si="28"/>
        <v>0</v>
      </c>
      <c r="AU18" s="388" t="str">
        <f>IF(AT18=0,"",IF(AND(AT18=1,M18="F",SUMIF(C2:C33,C18,AS2:AS33)&lt;=1),SUMIF(C2:C33,C18,AS2:AS33),IF(AND(AT18=1,M18="F",SUMIF(C2:C33,C18,AS2:AS33)&gt;1),1,"")))</f>
        <v/>
      </c>
      <c r="AV18" s="388" t="str">
        <f>IF(AT18=0,"",IF(AND(AT18=3,M18="F",SUMIF(C2:C33,C18,AS2:AS33)&lt;=1),SUMIF(C2:C33,C18,AS2:AS33),IF(AND(AT18=3,M18="F",SUMIF(C2:C33,C18,AS2:AS33)&gt;1),1,"")))</f>
        <v/>
      </c>
      <c r="AW18" s="388">
        <f>SUMIF(C2:C33,C18,O2:O33)</f>
        <v>2</v>
      </c>
      <c r="AX18" s="388">
        <f>IF(AND(M18="F",AS18&lt;&gt;0),SUMIF(C2:C33,C18,W2:W33),0)</f>
        <v>0</v>
      </c>
      <c r="AY18" s="388" t="str">
        <f t="shared" si="29"/>
        <v/>
      </c>
      <c r="AZ18" s="388" t="str">
        <f t="shared" si="30"/>
        <v/>
      </c>
      <c r="BA18" s="388">
        <f t="shared" si="31"/>
        <v>0</v>
      </c>
      <c r="BB18" s="388">
        <f t="shared" si="0"/>
        <v>0</v>
      </c>
      <c r="BC18" s="388">
        <f t="shared" si="1"/>
        <v>0</v>
      </c>
      <c r="BD18" s="388">
        <f t="shared" si="2"/>
        <v>0</v>
      </c>
      <c r="BE18" s="388">
        <f t="shared" si="3"/>
        <v>0</v>
      </c>
      <c r="BF18" s="388">
        <f t="shared" si="4"/>
        <v>0</v>
      </c>
      <c r="BG18" s="388">
        <f t="shared" si="5"/>
        <v>0</v>
      </c>
      <c r="BH18" s="388">
        <f t="shared" si="6"/>
        <v>0</v>
      </c>
      <c r="BI18" s="388">
        <f t="shared" si="7"/>
        <v>0</v>
      </c>
      <c r="BJ18" s="388">
        <f t="shared" si="8"/>
        <v>0</v>
      </c>
      <c r="BK18" s="388">
        <f t="shared" si="9"/>
        <v>0</v>
      </c>
      <c r="BL18" s="388">
        <f t="shared" si="32"/>
        <v>0</v>
      </c>
      <c r="BM18" s="388">
        <f t="shared" si="33"/>
        <v>0</v>
      </c>
      <c r="BN18" s="388">
        <f t="shared" si="10"/>
        <v>0</v>
      </c>
      <c r="BO18" s="388">
        <f t="shared" si="11"/>
        <v>0</v>
      </c>
      <c r="BP18" s="388">
        <f t="shared" si="12"/>
        <v>0</v>
      </c>
      <c r="BQ18" s="388">
        <f t="shared" si="13"/>
        <v>0</v>
      </c>
      <c r="BR18" s="388">
        <f t="shared" si="14"/>
        <v>0</v>
      </c>
      <c r="BS18" s="388">
        <f t="shared" si="15"/>
        <v>0</v>
      </c>
      <c r="BT18" s="388">
        <f t="shared" si="16"/>
        <v>0</v>
      </c>
      <c r="BU18" s="388">
        <f t="shared" si="17"/>
        <v>0</v>
      </c>
      <c r="BV18" s="388">
        <f t="shared" si="18"/>
        <v>0</v>
      </c>
      <c r="BW18" s="388">
        <f t="shared" si="19"/>
        <v>0</v>
      </c>
      <c r="BX18" s="388">
        <f t="shared" si="34"/>
        <v>0</v>
      </c>
      <c r="BY18" s="388">
        <f t="shared" si="35"/>
        <v>0</v>
      </c>
      <c r="BZ18" s="388">
        <f t="shared" si="36"/>
        <v>0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0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0</v>
      </c>
      <c r="CI18" s="388">
        <f t="shared" si="26"/>
        <v>0</v>
      </c>
      <c r="CJ18" s="388">
        <f t="shared" si="39"/>
        <v>0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0494-03</v>
      </c>
    </row>
    <row r="19" spans="1:92" ht="15.75" thickBot="1">
      <c r="A19" s="377" t="s">
        <v>162</v>
      </c>
      <c r="B19" s="377" t="s">
        <v>163</v>
      </c>
      <c r="C19" s="377" t="s">
        <v>183</v>
      </c>
      <c r="D19" s="377" t="s">
        <v>184</v>
      </c>
      <c r="E19" s="377" t="s">
        <v>238</v>
      </c>
      <c r="F19" s="383" t="s">
        <v>239</v>
      </c>
      <c r="G19" s="377" t="s">
        <v>168</v>
      </c>
      <c r="H19" s="379"/>
      <c r="I19" s="379"/>
      <c r="J19" s="377" t="s">
        <v>185</v>
      </c>
      <c r="K19" s="377" t="s">
        <v>186</v>
      </c>
      <c r="L19" s="377" t="s">
        <v>187</v>
      </c>
      <c r="M19" s="377" t="s">
        <v>171</v>
      </c>
      <c r="N19" s="377" t="s">
        <v>172</v>
      </c>
      <c r="O19" s="380">
        <v>1</v>
      </c>
      <c r="P19" s="386">
        <v>0</v>
      </c>
      <c r="Q19" s="386">
        <v>0</v>
      </c>
      <c r="R19" s="381">
        <v>80</v>
      </c>
      <c r="S19" s="386">
        <v>0</v>
      </c>
      <c r="T19" s="381">
        <v>3120.36</v>
      </c>
      <c r="U19" s="381">
        <v>0</v>
      </c>
      <c r="V19" s="381">
        <v>1755.51</v>
      </c>
      <c r="W19" s="381">
        <v>0</v>
      </c>
      <c r="X19" s="381">
        <v>0</v>
      </c>
      <c r="Y19" s="381">
        <v>0</v>
      </c>
      <c r="Z19" s="381">
        <v>0</v>
      </c>
      <c r="AA19" s="377" t="s">
        <v>188</v>
      </c>
      <c r="AB19" s="377" t="s">
        <v>189</v>
      </c>
      <c r="AC19" s="377" t="s">
        <v>190</v>
      </c>
      <c r="AD19" s="377" t="s">
        <v>191</v>
      </c>
      <c r="AE19" s="377" t="s">
        <v>186</v>
      </c>
      <c r="AF19" s="377" t="s">
        <v>177</v>
      </c>
      <c r="AG19" s="377" t="s">
        <v>178</v>
      </c>
      <c r="AH19" s="382">
        <v>26.24</v>
      </c>
      <c r="AI19" s="382">
        <v>13781.5</v>
      </c>
      <c r="AJ19" s="377" t="s">
        <v>179</v>
      </c>
      <c r="AK19" s="377" t="s">
        <v>180</v>
      </c>
      <c r="AL19" s="377" t="s">
        <v>181</v>
      </c>
      <c r="AM19" s="377" t="s">
        <v>192</v>
      </c>
      <c r="AN19" s="377" t="s">
        <v>66</v>
      </c>
      <c r="AO19" s="380">
        <v>80</v>
      </c>
      <c r="AP19" s="386">
        <v>1</v>
      </c>
      <c r="AQ19" s="386">
        <v>0</v>
      </c>
      <c r="AR19" s="384" t="s">
        <v>182</v>
      </c>
      <c r="AS19" s="388">
        <f t="shared" si="27"/>
        <v>0</v>
      </c>
      <c r="AT19">
        <f t="shared" si="28"/>
        <v>0</v>
      </c>
      <c r="AU19" s="388" t="str">
        <f>IF(AT19=0,"",IF(AND(AT19=1,M19="F",SUMIF(C2:C33,C19,AS2:AS33)&lt;=1),SUMIF(C2:C33,C19,AS2:AS33),IF(AND(AT19=1,M19="F",SUMIF(C2:C33,C19,AS2:AS33)&gt;1),1,"")))</f>
        <v/>
      </c>
      <c r="AV19" s="388" t="str">
        <f>IF(AT19=0,"",IF(AND(AT19=3,M19="F",SUMIF(C2:C33,C19,AS2:AS33)&lt;=1),SUMIF(C2:C33,C19,AS2:AS33),IF(AND(AT19=3,M19="F",SUMIF(C2:C33,C19,AS2:AS33)&gt;1),1,"")))</f>
        <v/>
      </c>
      <c r="AW19" s="388">
        <f>SUMIF(C2:C33,C19,O2:O33)</f>
        <v>4</v>
      </c>
      <c r="AX19" s="388">
        <f>IF(AND(M19="F",AS19&lt;&gt;0),SUMIF(C2:C33,C19,W2:W33),0)</f>
        <v>0</v>
      </c>
      <c r="AY19" s="388" t="str">
        <f t="shared" si="29"/>
        <v/>
      </c>
      <c r="AZ19" s="388" t="str">
        <f t="shared" si="30"/>
        <v/>
      </c>
      <c r="BA19" s="388">
        <f t="shared" si="31"/>
        <v>0</v>
      </c>
      <c r="BB19" s="388">
        <f t="shared" si="0"/>
        <v>0</v>
      </c>
      <c r="BC19" s="388">
        <f t="shared" si="1"/>
        <v>0</v>
      </c>
      <c r="BD19" s="388">
        <f t="shared" si="2"/>
        <v>0</v>
      </c>
      <c r="BE19" s="388">
        <f t="shared" si="3"/>
        <v>0</v>
      </c>
      <c r="BF19" s="388">
        <f t="shared" si="4"/>
        <v>0</v>
      </c>
      <c r="BG19" s="388">
        <f t="shared" si="5"/>
        <v>0</v>
      </c>
      <c r="BH19" s="388">
        <f t="shared" si="6"/>
        <v>0</v>
      </c>
      <c r="BI19" s="388">
        <f t="shared" si="7"/>
        <v>0</v>
      </c>
      <c r="BJ19" s="388">
        <f t="shared" si="8"/>
        <v>0</v>
      </c>
      <c r="BK19" s="388">
        <f t="shared" si="9"/>
        <v>0</v>
      </c>
      <c r="BL19" s="388">
        <f t="shared" si="32"/>
        <v>0</v>
      </c>
      <c r="BM19" s="388">
        <f t="shared" si="33"/>
        <v>0</v>
      </c>
      <c r="BN19" s="388">
        <f t="shared" si="10"/>
        <v>0</v>
      </c>
      <c r="BO19" s="388">
        <f t="shared" si="11"/>
        <v>0</v>
      </c>
      <c r="BP19" s="388">
        <f t="shared" si="12"/>
        <v>0</v>
      </c>
      <c r="BQ19" s="388">
        <f t="shared" si="13"/>
        <v>0</v>
      </c>
      <c r="BR19" s="388">
        <f t="shared" si="14"/>
        <v>0</v>
      </c>
      <c r="BS19" s="388">
        <f t="shared" si="15"/>
        <v>0</v>
      </c>
      <c r="BT19" s="388">
        <f t="shared" si="16"/>
        <v>0</v>
      </c>
      <c r="BU19" s="388">
        <f t="shared" si="17"/>
        <v>0</v>
      </c>
      <c r="BV19" s="388">
        <f t="shared" si="18"/>
        <v>0</v>
      </c>
      <c r="BW19" s="388">
        <f t="shared" si="19"/>
        <v>0</v>
      </c>
      <c r="BX19" s="388">
        <f t="shared" si="34"/>
        <v>0</v>
      </c>
      <c r="BY19" s="388">
        <f t="shared" si="35"/>
        <v>0</v>
      </c>
      <c r="BZ19" s="388">
        <f t="shared" si="36"/>
        <v>0</v>
      </c>
      <c r="CA19" s="388">
        <f t="shared" si="37"/>
        <v>0</v>
      </c>
      <c r="CB19" s="388">
        <f t="shared" si="38"/>
        <v>0</v>
      </c>
      <c r="CC19" s="388">
        <f t="shared" si="20"/>
        <v>0</v>
      </c>
      <c r="CD19" s="388">
        <f t="shared" si="21"/>
        <v>0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0</v>
      </c>
      <c r="CI19" s="388">
        <f t="shared" si="26"/>
        <v>0</v>
      </c>
      <c r="CJ19" s="388">
        <f t="shared" si="39"/>
        <v>0</v>
      </c>
      <c r="CK19" s="388" t="str">
        <f t="shared" si="40"/>
        <v/>
      </c>
      <c r="CL19" s="388" t="str">
        <f t="shared" si="41"/>
        <v/>
      </c>
      <c r="CM19" s="388" t="str">
        <f t="shared" si="42"/>
        <v/>
      </c>
      <c r="CN19" s="388" t="str">
        <f t="shared" si="43"/>
        <v>0494-03</v>
      </c>
    </row>
    <row r="20" spans="1:92" ht="15.75" thickBot="1">
      <c r="A20" s="377" t="s">
        <v>162</v>
      </c>
      <c r="B20" s="377" t="s">
        <v>163</v>
      </c>
      <c r="C20" s="377" t="s">
        <v>193</v>
      </c>
      <c r="D20" s="377" t="s">
        <v>194</v>
      </c>
      <c r="E20" s="377" t="s">
        <v>238</v>
      </c>
      <c r="F20" s="383" t="s">
        <v>239</v>
      </c>
      <c r="G20" s="377" t="s">
        <v>168</v>
      </c>
      <c r="H20" s="379"/>
      <c r="I20" s="379"/>
      <c r="J20" s="377" t="s">
        <v>169</v>
      </c>
      <c r="K20" s="377" t="s">
        <v>195</v>
      </c>
      <c r="L20" s="377" t="s">
        <v>181</v>
      </c>
      <c r="M20" s="377" t="s">
        <v>171</v>
      </c>
      <c r="N20" s="377" t="s">
        <v>172</v>
      </c>
      <c r="O20" s="380">
        <v>1</v>
      </c>
      <c r="P20" s="386">
        <v>0</v>
      </c>
      <c r="Q20" s="386">
        <v>0</v>
      </c>
      <c r="R20" s="381">
        <v>80</v>
      </c>
      <c r="S20" s="386">
        <v>0</v>
      </c>
      <c r="T20" s="381">
        <v>6406.78</v>
      </c>
      <c r="U20" s="381">
        <v>0</v>
      </c>
      <c r="V20" s="381">
        <v>2515.91</v>
      </c>
      <c r="W20" s="381">
        <v>0</v>
      </c>
      <c r="X20" s="381">
        <v>0</v>
      </c>
      <c r="Y20" s="381">
        <v>0</v>
      </c>
      <c r="Z20" s="381">
        <v>0</v>
      </c>
      <c r="AA20" s="377" t="s">
        <v>196</v>
      </c>
      <c r="AB20" s="377" t="s">
        <v>197</v>
      </c>
      <c r="AC20" s="377" t="s">
        <v>198</v>
      </c>
      <c r="AD20" s="377" t="s">
        <v>199</v>
      </c>
      <c r="AE20" s="377" t="s">
        <v>195</v>
      </c>
      <c r="AF20" s="377" t="s">
        <v>177</v>
      </c>
      <c r="AG20" s="377" t="s">
        <v>178</v>
      </c>
      <c r="AH20" s="382">
        <v>36.520000000000003</v>
      </c>
      <c r="AI20" s="382">
        <v>7063.6</v>
      </c>
      <c r="AJ20" s="377" t="s">
        <v>179</v>
      </c>
      <c r="AK20" s="377" t="s">
        <v>180</v>
      </c>
      <c r="AL20" s="377" t="s">
        <v>181</v>
      </c>
      <c r="AM20" s="377" t="s">
        <v>192</v>
      </c>
      <c r="AN20" s="377" t="s">
        <v>66</v>
      </c>
      <c r="AO20" s="380">
        <v>80</v>
      </c>
      <c r="AP20" s="386">
        <v>1</v>
      </c>
      <c r="AQ20" s="386">
        <v>0</v>
      </c>
      <c r="AR20" s="384" t="s">
        <v>182</v>
      </c>
      <c r="AS20" s="388">
        <f t="shared" si="27"/>
        <v>0</v>
      </c>
      <c r="AT20">
        <f t="shared" si="28"/>
        <v>0</v>
      </c>
      <c r="AU20" s="388" t="str">
        <f>IF(AT20=0,"",IF(AND(AT20=1,M20="F",SUMIF(C2:C33,C20,AS2:AS33)&lt;=1),SUMIF(C2:C33,C20,AS2:AS33),IF(AND(AT20=1,M20="F",SUMIF(C2:C33,C20,AS2:AS33)&gt;1),1,"")))</f>
        <v/>
      </c>
      <c r="AV20" s="388" t="str">
        <f>IF(AT20=0,"",IF(AND(AT20=3,M20="F",SUMIF(C2:C33,C20,AS2:AS33)&lt;=1),SUMIF(C2:C33,C20,AS2:AS33),IF(AND(AT20=3,M20="F",SUMIF(C2:C33,C20,AS2:AS33)&gt;1),1,"")))</f>
        <v/>
      </c>
      <c r="AW20" s="388">
        <f>SUMIF(C2:C33,C20,O2:O33)</f>
        <v>4</v>
      </c>
      <c r="AX20" s="388">
        <f>IF(AND(M20="F",AS20&lt;&gt;0),SUMIF(C2:C33,C20,W2:W33),0)</f>
        <v>0</v>
      </c>
      <c r="AY20" s="388" t="str">
        <f t="shared" si="29"/>
        <v/>
      </c>
      <c r="AZ20" s="388" t="str">
        <f t="shared" si="30"/>
        <v/>
      </c>
      <c r="BA20" s="388">
        <f t="shared" si="31"/>
        <v>0</v>
      </c>
      <c r="BB20" s="388">
        <f t="shared" si="0"/>
        <v>0</v>
      </c>
      <c r="BC20" s="388">
        <f t="shared" si="1"/>
        <v>0</v>
      </c>
      <c r="BD20" s="388">
        <f t="shared" si="2"/>
        <v>0</v>
      </c>
      <c r="BE20" s="388">
        <f t="shared" si="3"/>
        <v>0</v>
      </c>
      <c r="BF20" s="388">
        <f t="shared" si="4"/>
        <v>0</v>
      </c>
      <c r="BG20" s="388">
        <f t="shared" si="5"/>
        <v>0</v>
      </c>
      <c r="BH20" s="388">
        <f t="shared" si="6"/>
        <v>0</v>
      </c>
      <c r="BI20" s="388">
        <f t="shared" si="7"/>
        <v>0</v>
      </c>
      <c r="BJ20" s="388">
        <f t="shared" si="8"/>
        <v>0</v>
      </c>
      <c r="BK20" s="388">
        <f t="shared" si="9"/>
        <v>0</v>
      </c>
      <c r="BL20" s="388">
        <f t="shared" si="32"/>
        <v>0</v>
      </c>
      <c r="BM20" s="388">
        <f t="shared" si="33"/>
        <v>0</v>
      </c>
      <c r="BN20" s="388">
        <f t="shared" si="10"/>
        <v>0</v>
      </c>
      <c r="BO20" s="388">
        <f t="shared" si="11"/>
        <v>0</v>
      </c>
      <c r="BP20" s="388">
        <f t="shared" si="12"/>
        <v>0</v>
      </c>
      <c r="BQ20" s="388">
        <f t="shared" si="13"/>
        <v>0</v>
      </c>
      <c r="BR20" s="388">
        <f t="shared" si="14"/>
        <v>0</v>
      </c>
      <c r="BS20" s="388">
        <f t="shared" si="15"/>
        <v>0</v>
      </c>
      <c r="BT20" s="388">
        <f t="shared" si="16"/>
        <v>0</v>
      </c>
      <c r="BU20" s="388">
        <f t="shared" si="17"/>
        <v>0</v>
      </c>
      <c r="BV20" s="388">
        <f t="shared" si="18"/>
        <v>0</v>
      </c>
      <c r="BW20" s="388">
        <f t="shared" si="19"/>
        <v>0</v>
      </c>
      <c r="BX20" s="388">
        <f t="shared" si="34"/>
        <v>0</v>
      </c>
      <c r="BY20" s="388">
        <f t="shared" si="35"/>
        <v>0</v>
      </c>
      <c r="BZ20" s="388">
        <f t="shared" si="36"/>
        <v>0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0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0</v>
      </c>
      <c r="CI20" s="388">
        <f t="shared" si="26"/>
        <v>0</v>
      </c>
      <c r="CJ20" s="388">
        <f t="shared" si="39"/>
        <v>0</v>
      </c>
      <c r="CK20" s="388" t="str">
        <f t="shared" si="40"/>
        <v/>
      </c>
      <c r="CL20" s="388" t="str">
        <f t="shared" si="41"/>
        <v/>
      </c>
      <c r="CM20" s="388" t="str">
        <f t="shared" si="42"/>
        <v/>
      </c>
      <c r="CN20" s="388" t="str">
        <f t="shared" si="43"/>
        <v>0494-03</v>
      </c>
    </row>
    <row r="21" spans="1:92" ht="15.75" thickBot="1">
      <c r="A21" s="377" t="s">
        <v>162</v>
      </c>
      <c r="B21" s="377" t="s">
        <v>163</v>
      </c>
      <c r="C21" s="377" t="s">
        <v>200</v>
      </c>
      <c r="D21" s="377" t="s">
        <v>201</v>
      </c>
      <c r="E21" s="377" t="s">
        <v>238</v>
      </c>
      <c r="F21" s="383" t="s">
        <v>239</v>
      </c>
      <c r="G21" s="377" t="s">
        <v>168</v>
      </c>
      <c r="H21" s="379"/>
      <c r="I21" s="379"/>
      <c r="J21" s="377" t="s">
        <v>202</v>
      </c>
      <c r="K21" s="377" t="s">
        <v>203</v>
      </c>
      <c r="L21" s="377" t="s">
        <v>181</v>
      </c>
      <c r="M21" s="377" t="s">
        <v>171</v>
      </c>
      <c r="N21" s="377" t="s">
        <v>172</v>
      </c>
      <c r="O21" s="380">
        <v>1</v>
      </c>
      <c r="P21" s="386">
        <v>0</v>
      </c>
      <c r="Q21" s="386">
        <v>0</v>
      </c>
      <c r="R21" s="381">
        <v>80</v>
      </c>
      <c r="S21" s="386">
        <v>0</v>
      </c>
      <c r="T21" s="381">
        <v>9805.76</v>
      </c>
      <c r="U21" s="381">
        <v>0</v>
      </c>
      <c r="V21" s="381">
        <v>3519.99</v>
      </c>
      <c r="W21" s="381">
        <v>0</v>
      </c>
      <c r="X21" s="381">
        <v>0</v>
      </c>
      <c r="Y21" s="381">
        <v>0</v>
      </c>
      <c r="Z21" s="381">
        <v>0</v>
      </c>
      <c r="AA21" s="377" t="s">
        <v>204</v>
      </c>
      <c r="AB21" s="377" t="s">
        <v>205</v>
      </c>
      <c r="AC21" s="377" t="s">
        <v>206</v>
      </c>
      <c r="AD21" s="377" t="s">
        <v>207</v>
      </c>
      <c r="AE21" s="377" t="s">
        <v>203</v>
      </c>
      <c r="AF21" s="377" t="s">
        <v>177</v>
      </c>
      <c r="AG21" s="377" t="s">
        <v>178</v>
      </c>
      <c r="AH21" s="382">
        <v>40.64</v>
      </c>
      <c r="AI21" s="382">
        <v>8864.2000000000007</v>
      </c>
      <c r="AJ21" s="377" t="s">
        <v>179</v>
      </c>
      <c r="AK21" s="377" t="s">
        <v>180</v>
      </c>
      <c r="AL21" s="377" t="s">
        <v>181</v>
      </c>
      <c r="AM21" s="377" t="s">
        <v>192</v>
      </c>
      <c r="AN21" s="377" t="s">
        <v>66</v>
      </c>
      <c r="AO21" s="380">
        <v>80</v>
      </c>
      <c r="AP21" s="386">
        <v>1</v>
      </c>
      <c r="AQ21" s="386">
        <v>0</v>
      </c>
      <c r="AR21" s="384" t="s">
        <v>182</v>
      </c>
      <c r="AS21" s="388">
        <f t="shared" si="27"/>
        <v>0</v>
      </c>
      <c r="AT21">
        <f t="shared" si="28"/>
        <v>0</v>
      </c>
      <c r="AU21" s="388" t="str">
        <f>IF(AT21=0,"",IF(AND(AT21=1,M21="F",SUMIF(C2:C33,C21,AS2:AS33)&lt;=1),SUMIF(C2:C33,C21,AS2:AS33),IF(AND(AT21=1,M21="F",SUMIF(C2:C33,C21,AS2:AS33)&gt;1),1,"")))</f>
        <v/>
      </c>
      <c r="AV21" s="388" t="str">
        <f>IF(AT21=0,"",IF(AND(AT21=3,M21="F",SUMIF(C2:C33,C21,AS2:AS33)&lt;=1),SUMIF(C2:C33,C21,AS2:AS33),IF(AND(AT21=3,M21="F",SUMIF(C2:C33,C21,AS2:AS33)&gt;1),1,"")))</f>
        <v/>
      </c>
      <c r="AW21" s="388">
        <f>SUMIF(C2:C33,C21,O2:O33)</f>
        <v>4</v>
      </c>
      <c r="AX21" s="388">
        <f>IF(AND(M21="F",AS21&lt;&gt;0),SUMIF(C2:C33,C21,W2:W33),0)</f>
        <v>0</v>
      </c>
      <c r="AY21" s="388" t="str">
        <f t="shared" si="29"/>
        <v/>
      </c>
      <c r="AZ21" s="388" t="str">
        <f t="shared" si="30"/>
        <v/>
      </c>
      <c r="BA21" s="388">
        <f t="shared" si="31"/>
        <v>0</v>
      </c>
      <c r="BB21" s="388">
        <f t="shared" si="0"/>
        <v>0</v>
      </c>
      <c r="BC21" s="388">
        <f t="shared" si="1"/>
        <v>0</v>
      </c>
      <c r="BD21" s="388">
        <f t="shared" si="2"/>
        <v>0</v>
      </c>
      <c r="BE21" s="388">
        <f t="shared" si="3"/>
        <v>0</v>
      </c>
      <c r="BF21" s="388">
        <f t="shared" si="4"/>
        <v>0</v>
      </c>
      <c r="BG21" s="388">
        <f t="shared" si="5"/>
        <v>0</v>
      </c>
      <c r="BH21" s="388">
        <f t="shared" si="6"/>
        <v>0</v>
      </c>
      <c r="BI21" s="388">
        <f t="shared" si="7"/>
        <v>0</v>
      </c>
      <c r="BJ21" s="388">
        <f t="shared" si="8"/>
        <v>0</v>
      </c>
      <c r="BK21" s="388">
        <f t="shared" si="9"/>
        <v>0</v>
      </c>
      <c r="BL21" s="388">
        <f t="shared" si="32"/>
        <v>0</v>
      </c>
      <c r="BM21" s="388">
        <f t="shared" si="33"/>
        <v>0</v>
      </c>
      <c r="BN21" s="388">
        <f t="shared" si="10"/>
        <v>0</v>
      </c>
      <c r="BO21" s="388">
        <f t="shared" si="11"/>
        <v>0</v>
      </c>
      <c r="BP21" s="388">
        <f t="shared" si="12"/>
        <v>0</v>
      </c>
      <c r="BQ21" s="388">
        <f t="shared" si="13"/>
        <v>0</v>
      </c>
      <c r="BR21" s="388">
        <f t="shared" si="14"/>
        <v>0</v>
      </c>
      <c r="BS21" s="388">
        <f t="shared" si="15"/>
        <v>0</v>
      </c>
      <c r="BT21" s="388">
        <f t="shared" si="16"/>
        <v>0</v>
      </c>
      <c r="BU21" s="388">
        <f t="shared" si="17"/>
        <v>0</v>
      </c>
      <c r="BV21" s="388">
        <f t="shared" si="18"/>
        <v>0</v>
      </c>
      <c r="BW21" s="388">
        <f t="shared" si="19"/>
        <v>0</v>
      </c>
      <c r="BX21" s="388">
        <f t="shared" si="34"/>
        <v>0</v>
      </c>
      <c r="BY21" s="388">
        <f t="shared" si="35"/>
        <v>0</v>
      </c>
      <c r="BZ21" s="388">
        <f t="shared" si="36"/>
        <v>0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0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0</v>
      </c>
      <c r="CI21" s="388">
        <f t="shared" si="26"/>
        <v>0</v>
      </c>
      <c r="CJ21" s="388">
        <f t="shared" si="39"/>
        <v>0</v>
      </c>
      <c r="CK21" s="388" t="str">
        <f t="shared" si="40"/>
        <v/>
      </c>
      <c r="CL21" s="388" t="str">
        <f t="shared" si="41"/>
        <v/>
      </c>
      <c r="CM21" s="388" t="str">
        <f t="shared" si="42"/>
        <v/>
      </c>
      <c r="CN21" s="388" t="str">
        <f t="shared" si="43"/>
        <v>0494-03</v>
      </c>
    </row>
    <row r="22" spans="1:92" ht="15.75" thickBot="1">
      <c r="A22" s="377" t="s">
        <v>162</v>
      </c>
      <c r="B22" s="377" t="s">
        <v>163</v>
      </c>
      <c r="C22" s="377" t="s">
        <v>208</v>
      </c>
      <c r="D22" s="377" t="s">
        <v>209</v>
      </c>
      <c r="E22" s="377" t="s">
        <v>238</v>
      </c>
      <c r="F22" s="383" t="s">
        <v>239</v>
      </c>
      <c r="G22" s="377" t="s">
        <v>168</v>
      </c>
      <c r="H22" s="379"/>
      <c r="I22" s="379"/>
      <c r="J22" s="377" t="s">
        <v>169</v>
      </c>
      <c r="K22" s="377" t="s">
        <v>210</v>
      </c>
      <c r="L22" s="377" t="s">
        <v>167</v>
      </c>
      <c r="M22" s="377" t="s">
        <v>171</v>
      </c>
      <c r="N22" s="377" t="s">
        <v>172</v>
      </c>
      <c r="O22" s="380">
        <v>1</v>
      </c>
      <c r="P22" s="386">
        <v>0.5</v>
      </c>
      <c r="Q22" s="386">
        <v>0.5</v>
      </c>
      <c r="R22" s="381">
        <v>80</v>
      </c>
      <c r="S22" s="386">
        <v>0.5</v>
      </c>
      <c r="T22" s="381">
        <v>4093.7</v>
      </c>
      <c r="U22" s="381">
        <v>0</v>
      </c>
      <c r="V22" s="381">
        <v>1915.99</v>
      </c>
      <c r="W22" s="381">
        <v>36649.599999999999</v>
      </c>
      <c r="X22" s="381">
        <v>13825.82</v>
      </c>
      <c r="Y22" s="381">
        <v>36649.599999999999</v>
      </c>
      <c r="Z22" s="381">
        <v>14128.31</v>
      </c>
      <c r="AA22" s="377" t="s">
        <v>211</v>
      </c>
      <c r="AB22" s="377" t="s">
        <v>212</v>
      </c>
      <c r="AC22" s="377" t="s">
        <v>213</v>
      </c>
      <c r="AD22" s="377" t="s">
        <v>214</v>
      </c>
      <c r="AE22" s="377" t="s">
        <v>210</v>
      </c>
      <c r="AF22" s="377" t="s">
        <v>177</v>
      </c>
      <c r="AG22" s="377" t="s">
        <v>178</v>
      </c>
      <c r="AH22" s="382">
        <v>35.24</v>
      </c>
      <c r="AI22" s="382">
        <v>24991.4</v>
      </c>
      <c r="AJ22" s="377" t="s">
        <v>179</v>
      </c>
      <c r="AK22" s="377" t="s">
        <v>180</v>
      </c>
      <c r="AL22" s="377" t="s">
        <v>181</v>
      </c>
      <c r="AM22" s="377" t="s">
        <v>192</v>
      </c>
      <c r="AN22" s="377" t="s">
        <v>66</v>
      </c>
      <c r="AO22" s="380">
        <v>80</v>
      </c>
      <c r="AP22" s="386">
        <v>1</v>
      </c>
      <c r="AQ22" s="386">
        <v>0.5</v>
      </c>
      <c r="AR22" s="384" t="s">
        <v>182</v>
      </c>
      <c r="AS22" s="388">
        <f t="shared" si="27"/>
        <v>0.5</v>
      </c>
      <c r="AT22">
        <f t="shared" si="28"/>
        <v>1</v>
      </c>
      <c r="AU22" s="388">
        <f>IF(AT22=0,"",IF(AND(AT22=1,M22="F",SUMIF(C2:C33,C22,AS2:AS33)&lt;=1),SUMIF(C2:C33,C22,AS2:AS33),IF(AND(AT22=1,M22="F",SUMIF(C2:C33,C22,AS2:AS33)&gt;1),1,"")))</f>
        <v>1</v>
      </c>
      <c r="AV22" s="388" t="str">
        <f>IF(AT22=0,"",IF(AND(AT22=3,M22="F",SUMIF(C2:C33,C22,AS2:AS33)&lt;=1),SUMIF(C2:C33,C22,AS2:AS33),IF(AND(AT22=3,M22="F",SUMIF(C2:C33,C22,AS2:AS33)&gt;1),1,"")))</f>
        <v/>
      </c>
      <c r="AW22" s="388">
        <f>SUMIF(C2:C33,C22,O2:O33)</f>
        <v>4</v>
      </c>
      <c r="AX22" s="388">
        <f>IF(AND(M22="F",AS22&lt;&gt;0),SUMIF(C2:C33,C22,W2:W33),0)</f>
        <v>73299.199999999997</v>
      </c>
      <c r="AY22" s="388">
        <f t="shared" si="29"/>
        <v>36649.599999999999</v>
      </c>
      <c r="AZ22" s="388" t="str">
        <f t="shared" si="30"/>
        <v/>
      </c>
      <c r="BA22" s="388">
        <f t="shared" si="31"/>
        <v>0</v>
      </c>
      <c r="BB22" s="388">
        <f t="shared" si="0"/>
        <v>6250</v>
      </c>
      <c r="BC22" s="388">
        <f t="shared" si="1"/>
        <v>0</v>
      </c>
      <c r="BD22" s="388">
        <f t="shared" si="2"/>
        <v>2272.2752</v>
      </c>
      <c r="BE22" s="388">
        <f t="shared" si="3"/>
        <v>531.41920000000005</v>
      </c>
      <c r="BF22" s="388">
        <f t="shared" si="4"/>
        <v>4375.9622399999998</v>
      </c>
      <c r="BG22" s="388">
        <f t="shared" si="5"/>
        <v>264.24361599999997</v>
      </c>
      <c r="BH22" s="388">
        <f t="shared" si="6"/>
        <v>0</v>
      </c>
      <c r="BI22" s="388">
        <f t="shared" si="7"/>
        <v>0</v>
      </c>
      <c r="BJ22" s="388">
        <f t="shared" si="8"/>
        <v>131.93856</v>
      </c>
      <c r="BK22" s="388">
        <f t="shared" si="9"/>
        <v>0</v>
      </c>
      <c r="BL22" s="388">
        <f t="shared" si="32"/>
        <v>7575.8388159999995</v>
      </c>
      <c r="BM22" s="388">
        <f t="shared" si="33"/>
        <v>0</v>
      </c>
      <c r="BN22" s="388">
        <f t="shared" si="10"/>
        <v>6875</v>
      </c>
      <c r="BO22" s="388">
        <f t="shared" si="11"/>
        <v>0</v>
      </c>
      <c r="BP22" s="388">
        <f t="shared" si="12"/>
        <v>2272.2752</v>
      </c>
      <c r="BQ22" s="388">
        <f t="shared" si="13"/>
        <v>531.41920000000005</v>
      </c>
      <c r="BR22" s="388">
        <f t="shared" si="14"/>
        <v>4097.4252799999995</v>
      </c>
      <c r="BS22" s="388">
        <f t="shared" si="15"/>
        <v>264.24361599999997</v>
      </c>
      <c r="BT22" s="388">
        <f t="shared" si="16"/>
        <v>0</v>
      </c>
      <c r="BU22" s="388">
        <f t="shared" si="17"/>
        <v>0</v>
      </c>
      <c r="BV22" s="388">
        <f t="shared" si="18"/>
        <v>87.959039999999987</v>
      </c>
      <c r="BW22" s="388">
        <f t="shared" si="19"/>
        <v>0</v>
      </c>
      <c r="BX22" s="388">
        <f t="shared" si="34"/>
        <v>7253.3223359999993</v>
      </c>
      <c r="BY22" s="388">
        <f t="shared" si="35"/>
        <v>0</v>
      </c>
      <c r="BZ22" s="388">
        <f t="shared" si="36"/>
        <v>625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-278.53696000000036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-43.979520000000001</v>
      </c>
      <c r="CI22" s="388">
        <f t="shared" si="26"/>
        <v>0</v>
      </c>
      <c r="CJ22" s="388">
        <f t="shared" si="39"/>
        <v>-322.51648000000034</v>
      </c>
      <c r="CK22" s="388" t="str">
        <f t="shared" si="40"/>
        <v/>
      </c>
      <c r="CL22" s="388" t="str">
        <f t="shared" si="41"/>
        <v/>
      </c>
      <c r="CM22" s="388" t="str">
        <f t="shared" si="42"/>
        <v/>
      </c>
      <c r="CN22" s="388" t="str">
        <f t="shared" si="43"/>
        <v>0494-03</v>
      </c>
    </row>
    <row r="23" spans="1:92" ht="15.75" thickBot="1">
      <c r="A23" s="377" t="s">
        <v>162</v>
      </c>
      <c r="B23" s="377" t="s">
        <v>163</v>
      </c>
      <c r="C23" s="377" t="s">
        <v>234</v>
      </c>
      <c r="D23" s="377" t="s">
        <v>216</v>
      </c>
      <c r="E23" s="377" t="s">
        <v>238</v>
      </c>
      <c r="F23" s="383" t="s">
        <v>239</v>
      </c>
      <c r="G23" s="377" t="s">
        <v>168</v>
      </c>
      <c r="H23" s="379"/>
      <c r="I23" s="379"/>
      <c r="J23" s="377" t="s">
        <v>169</v>
      </c>
      <c r="K23" s="377" t="s">
        <v>218</v>
      </c>
      <c r="L23" s="377" t="s">
        <v>187</v>
      </c>
      <c r="M23" s="377" t="s">
        <v>171</v>
      </c>
      <c r="N23" s="377" t="s">
        <v>172</v>
      </c>
      <c r="O23" s="380">
        <v>1</v>
      </c>
      <c r="P23" s="386">
        <v>0</v>
      </c>
      <c r="Q23" s="386">
        <v>0</v>
      </c>
      <c r="R23" s="381">
        <v>80</v>
      </c>
      <c r="S23" s="386">
        <v>0</v>
      </c>
      <c r="T23" s="381">
        <v>8781.91</v>
      </c>
      <c r="U23" s="381">
        <v>0</v>
      </c>
      <c r="V23" s="381">
        <v>3861.79</v>
      </c>
      <c r="W23" s="381">
        <v>0</v>
      </c>
      <c r="X23" s="381">
        <v>0</v>
      </c>
      <c r="Y23" s="381">
        <v>0</v>
      </c>
      <c r="Z23" s="381">
        <v>0</v>
      </c>
      <c r="AA23" s="377" t="s">
        <v>235</v>
      </c>
      <c r="AB23" s="377" t="s">
        <v>236</v>
      </c>
      <c r="AC23" s="377" t="s">
        <v>237</v>
      </c>
      <c r="AD23" s="377" t="s">
        <v>214</v>
      </c>
      <c r="AE23" s="377" t="s">
        <v>218</v>
      </c>
      <c r="AF23" s="377" t="s">
        <v>177</v>
      </c>
      <c r="AG23" s="377" t="s">
        <v>178</v>
      </c>
      <c r="AH23" s="382">
        <v>28.03</v>
      </c>
      <c r="AI23" s="382">
        <v>995.1</v>
      </c>
      <c r="AJ23" s="377" t="s">
        <v>179</v>
      </c>
      <c r="AK23" s="377" t="s">
        <v>180</v>
      </c>
      <c r="AL23" s="377" t="s">
        <v>181</v>
      </c>
      <c r="AM23" s="377" t="s">
        <v>192</v>
      </c>
      <c r="AN23" s="377" t="s">
        <v>66</v>
      </c>
      <c r="AO23" s="380">
        <v>80</v>
      </c>
      <c r="AP23" s="386">
        <v>1</v>
      </c>
      <c r="AQ23" s="386">
        <v>0</v>
      </c>
      <c r="AR23" s="384" t="s">
        <v>182</v>
      </c>
      <c r="AS23" s="388">
        <f t="shared" si="27"/>
        <v>0</v>
      </c>
      <c r="AT23">
        <f t="shared" si="28"/>
        <v>0</v>
      </c>
      <c r="AU23" s="388" t="str">
        <f>IF(AT23=0,"",IF(AND(AT23=1,M23="F",SUMIF(C2:C33,C23,AS2:AS33)&lt;=1),SUMIF(C2:C33,C23,AS2:AS33),IF(AND(AT23=1,M23="F",SUMIF(C2:C33,C23,AS2:AS33)&gt;1),1,"")))</f>
        <v/>
      </c>
      <c r="AV23" s="388" t="str">
        <f>IF(AT23=0,"",IF(AND(AT23=3,M23="F",SUMIF(C2:C33,C23,AS2:AS33)&lt;=1),SUMIF(C2:C33,C23,AS2:AS33),IF(AND(AT23=3,M23="F",SUMIF(C2:C33,C23,AS2:AS33)&gt;1),1,"")))</f>
        <v/>
      </c>
      <c r="AW23" s="388">
        <f>SUMIF(C2:C33,C23,O2:O33)</f>
        <v>3</v>
      </c>
      <c r="AX23" s="388">
        <f>IF(AND(M23="F",AS23&lt;&gt;0),SUMIF(C2:C33,C23,W2:W33),0)</f>
        <v>0</v>
      </c>
      <c r="AY23" s="388" t="str">
        <f t="shared" si="29"/>
        <v/>
      </c>
      <c r="AZ23" s="388" t="str">
        <f t="shared" si="30"/>
        <v/>
      </c>
      <c r="BA23" s="388">
        <f t="shared" si="31"/>
        <v>0</v>
      </c>
      <c r="BB23" s="388">
        <f t="shared" si="0"/>
        <v>0</v>
      </c>
      <c r="BC23" s="388">
        <f t="shared" si="1"/>
        <v>0</v>
      </c>
      <c r="BD23" s="388">
        <f t="shared" si="2"/>
        <v>0</v>
      </c>
      <c r="BE23" s="388">
        <f t="shared" si="3"/>
        <v>0</v>
      </c>
      <c r="BF23" s="388">
        <f t="shared" si="4"/>
        <v>0</v>
      </c>
      <c r="BG23" s="388">
        <f t="shared" si="5"/>
        <v>0</v>
      </c>
      <c r="BH23" s="388">
        <f t="shared" si="6"/>
        <v>0</v>
      </c>
      <c r="BI23" s="388">
        <f t="shared" si="7"/>
        <v>0</v>
      </c>
      <c r="BJ23" s="388">
        <f t="shared" si="8"/>
        <v>0</v>
      </c>
      <c r="BK23" s="388">
        <f t="shared" si="9"/>
        <v>0</v>
      </c>
      <c r="BL23" s="388">
        <f t="shared" si="32"/>
        <v>0</v>
      </c>
      <c r="BM23" s="388">
        <f t="shared" si="33"/>
        <v>0</v>
      </c>
      <c r="BN23" s="388">
        <f t="shared" si="10"/>
        <v>0</v>
      </c>
      <c r="BO23" s="388">
        <f t="shared" si="11"/>
        <v>0</v>
      </c>
      <c r="BP23" s="388">
        <f t="shared" si="12"/>
        <v>0</v>
      </c>
      <c r="BQ23" s="388">
        <f t="shared" si="13"/>
        <v>0</v>
      </c>
      <c r="BR23" s="388">
        <f t="shared" si="14"/>
        <v>0</v>
      </c>
      <c r="BS23" s="388">
        <f t="shared" si="15"/>
        <v>0</v>
      </c>
      <c r="BT23" s="388">
        <f t="shared" si="16"/>
        <v>0</v>
      </c>
      <c r="BU23" s="388">
        <f t="shared" si="17"/>
        <v>0</v>
      </c>
      <c r="BV23" s="388">
        <f t="shared" si="18"/>
        <v>0</v>
      </c>
      <c r="BW23" s="388">
        <f t="shared" si="19"/>
        <v>0</v>
      </c>
      <c r="BX23" s="388">
        <f t="shared" si="34"/>
        <v>0</v>
      </c>
      <c r="BY23" s="388">
        <f t="shared" si="35"/>
        <v>0</v>
      </c>
      <c r="BZ23" s="388">
        <f t="shared" si="36"/>
        <v>0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0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0</v>
      </c>
      <c r="CI23" s="388">
        <f t="shared" si="26"/>
        <v>0</v>
      </c>
      <c r="CJ23" s="388">
        <f t="shared" si="39"/>
        <v>0</v>
      </c>
      <c r="CK23" s="388" t="str">
        <f t="shared" si="40"/>
        <v/>
      </c>
      <c r="CL23" s="388" t="str">
        <f t="shared" si="41"/>
        <v/>
      </c>
      <c r="CM23" s="388" t="str">
        <f t="shared" si="42"/>
        <v/>
      </c>
      <c r="CN23" s="388" t="str">
        <f t="shared" si="43"/>
        <v>0494-03</v>
      </c>
    </row>
    <row r="24" spans="1:92" ht="15.75" thickBot="1">
      <c r="A24" s="377" t="s">
        <v>162</v>
      </c>
      <c r="B24" s="377" t="s">
        <v>163</v>
      </c>
      <c r="C24" s="377" t="s">
        <v>164</v>
      </c>
      <c r="D24" s="377" t="s">
        <v>165</v>
      </c>
      <c r="E24" s="377" t="s">
        <v>238</v>
      </c>
      <c r="F24" s="383" t="s">
        <v>239</v>
      </c>
      <c r="G24" s="377" t="s">
        <v>168</v>
      </c>
      <c r="H24" s="379"/>
      <c r="I24" s="379"/>
      <c r="J24" s="377" t="s">
        <v>169</v>
      </c>
      <c r="K24" s="377" t="s">
        <v>170</v>
      </c>
      <c r="L24" s="377" t="s">
        <v>167</v>
      </c>
      <c r="M24" s="377" t="s">
        <v>171</v>
      </c>
      <c r="N24" s="377" t="s">
        <v>172</v>
      </c>
      <c r="O24" s="380">
        <v>1</v>
      </c>
      <c r="P24" s="386">
        <v>0</v>
      </c>
      <c r="Q24" s="386">
        <v>0</v>
      </c>
      <c r="R24" s="381">
        <v>80</v>
      </c>
      <c r="S24" s="386">
        <v>0</v>
      </c>
      <c r="T24" s="381">
        <v>0</v>
      </c>
      <c r="U24" s="381">
        <v>0</v>
      </c>
      <c r="V24" s="381">
        <v>27.99</v>
      </c>
      <c r="W24" s="381">
        <v>0</v>
      </c>
      <c r="X24" s="381">
        <v>0</v>
      </c>
      <c r="Y24" s="381">
        <v>0</v>
      </c>
      <c r="Z24" s="381">
        <v>0</v>
      </c>
      <c r="AA24" s="377" t="s">
        <v>173</v>
      </c>
      <c r="AB24" s="377" t="s">
        <v>174</v>
      </c>
      <c r="AC24" s="377" t="s">
        <v>175</v>
      </c>
      <c r="AD24" s="377" t="s">
        <v>176</v>
      </c>
      <c r="AE24" s="377" t="s">
        <v>170</v>
      </c>
      <c r="AF24" s="377" t="s">
        <v>177</v>
      </c>
      <c r="AG24" s="377" t="s">
        <v>178</v>
      </c>
      <c r="AH24" s="382">
        <v>62.5</v>
      </c>
      <c r="AI24" s="380">
        <v>5671</v>
      </c>
      <c r="AJ24" s="377" t="s">
        <v>179</v>
      </c>
      <c r="AK24" s="377" t="s">
        <v>180</v>
      </c>
      <c r="AL24" s="377" t="s">
        <v>181</v>
      </c>
      <c r="AM24" s="377" t="s">
        <v>181</v>
      </c>
      <c r="AN24" s="377" t="s">
        <v>66</v>
      </c>
      <c r="AO24" s="380">
        <v>80</v>
      </c>
      <c r="AP24" s="386">
        <v>1</v>
      </c>
      <c r="AQ24" s="386">
        <v>0</v>
      </c>
      <c r="AR24" s="384" t="s">
        <v>182</v>
      </c>
      <c r="AS24" s="388">
        <f t="shared" si="27"/>
        <v>0</v>
      </c>
      <c r="AT24">
        <f t="shared" si="28"/>
        <v>0</v>
      </c>
      <c r="AU24" s="388" t="str">
        <f>IF(AT24=0,"",IF(AND(AT24=1,M24="F",SUMIF(C2:C33,C24,AS2:AS33)&lt;=1),SUMIF(C2:C33,C24,AS2:AS33),IF(AND(AT24=1,M24="F",SUMIF(C2:C33,C24,AS2:AS33)&gt;1),1,"")))</f>
        <v/>
      </c>
      <c r="AV24" s="388" t="str">
        <f>IF(AT24=0,"",IF(AND(AT24=3,M24="F",SUMIF(C2:C33,C24,AS2:AS33)&lt;=1),SUMIF(C2:C33,C24,AS2:AS33),IF(AND(AT24=3,M24="F",SUMIF(C2:C33,C24,AS2:AS33)&gt;1),1,"")))</f>
        <v/>
      </c>
      <c r="AW24" s="388">
        <f>SUMIF(C2:C33,C24,O2:O33)</f>
        <v>4</v>
      </c>
      <c r="AX24" s="388">
        <f>IF(AND(M24="F",AS24&lt;&gt;0),SUMIF(C2:C33,C24,W2:W33),0)</f>
        <v>0</v>
      </c>
      <c r="AY24" s="388" t="str">
        <f t="shared" si="29"/>
        <v/>
      </c>
      <c r="AZ24" s="388" t="str">
        <f t="shared" si="30"/>
        <v/>
      </c>
      <c r="BA24" s="388">
        <f t="shared" si="31"/>
        <v>0</v>
      </c>
      <c r="BB24" s="388">
        <f t="shared" si="0"/>
        <v>0</v>
      </c>
      <c r="BC24" s="388">
        <f t="shared" si="1"/>
        <v>0</v>
      </c>
      <c r="BD24" s="388">
        <f t="shared" si="2"/>
        <v>0</v>
      </c>
      <c r="BE24" s="388">
        <f t="shared" si="3"/>
        <v>0</v>
      </c>
      <c r="BF24" s="388">
        <f t="shared" si="4"/>
        <v>0</v>
      </c>
      <c r="BG24" s="388">
        <f t="shared" si="5"/>
        <v>0</v>
      </c>
      <c r="BH24" s="388">
        <f t="shared" si="6"/>
        <v>0</v>
      </c>
      <c r="BI24" s="388">
        <f t="shared" si="7"/>
        <v>0</v>
      </c>
      <c r="BJ24" s="388">
        <f t="shared" si="8"/>
        <v>0</v>
      </c>
      <c r="BK24" s="388">
        <f t="shared" si="9"/>
        <v>0</v>
      </c>
      <c r="BL24" s="388">
        <f t="shared" si="32"/>
        <v>0</v>
      </c>
      <c r="BM24" s="388">
        <f t="shared" si="33"/>
        <v>0</v>
      </c>
      <c r="BN24" s="388">
        <f t="shared" si="10"/>
        <v>0</v>
      </c>
      <c r="BO24" s="388">
        <f t="shared" si="11"/>
        <v>0</v>
      </c>
      <c r="BP24" s="388">
        <f t="shared" si="12"/>
        <v>0</v>
      </c>
      <c r="BQ24" s="388">
        <f t="shared" si="13"/>
        <v>0</v>
      </c>
      <c r="BR24" s="388">
        <f t="shared" si="14"/>
        <v>0</v>
      </c>
      <c r="BS24" s="388">
        <f t="shared" si="15"/>
        <v>0</v>
      </c>
      <c r="BT24" s="388">
        <f t="shared" si="16"/>
        <v>0</v>
      </c>
      <c r="BU24" s="388">
        <f t="shared" si="17"/>
        <v>0</v>
      </c>
      <c r="BV24" s="388">
        <f t="shared" si="18"/>
        <v>0</v>
      </c>
      <c r="BW24" s="388">
        <f t="shared" si="19"/>
        <v>0</v>
      </c>
      <c r="BX24" s="388">
        <f t="shared" si="34"/>
        <v>0</v>
      </c>
      <c r="BY24" s="388">
        <f t="shared" si="35"/>
        <v>0</v>
      </c>
      <c r="BZ24" s="388">
        <f t="shared" si="36"/>
        <v>0</v>
      </c>
      <c r="CA24" s="388">
        <f t="shared" si="37"/>
        <v>0</v>
      </c>
      <c r="CB24" s="388">
        <f t="shared" si="38"/>
        <v>0</v>
      </c>
      <c r="CC24" s="388">
        <f t="shared" si="20"/>
        <v>0</v>
      </c>
      <c r="CD24" s="388">
        <f t="shared" si="21"/>
        <v>0</v>
      </c>
      <c r="CE24" s="388">
        <f t="shared" si="22"/>
        <v>0</v>
      </c>
      <c r="CF24" s="388">
        <f t="shared" si="23"/>
        <v>0</v>
      </c>
      <c r="CG24" s="388">
        <f t="shared" si="24"/>
        <v>0</v>
      </c>
      <c r="CH24" s="388">
        <f t="shared" si="25"/>
        <v>0</v>
      </c>
      <c r="CI24" s="388">
        <f t="shared" si="26"/>
        <v>0</v>
      </c>
      <c r="CJ24" s="388">
        <f t="shared" si="39"/>
        <v>0</v>
      </c>
      <c r="CK24" s="388" t="str">
        <f t="shared" si="40"/>
        <v/>
      </c>
      <c r="CL24" s="388" t="str">
        <f t="shared" si="41"/>
        <v/>
      </c>
      <c r="CM24" s="388" t="str">
        <f t="shared" si="42"/>
        <v/>
      </c>
      <c r="CN24" s="388" t="str">
        <f t="shared" si="43"/>
        <v>0494-03</v>
      </c>
    </row>
    <row r="25" spans="1:92" ht="15.75" thickBot="1">
      <c r="A25" s="377" t="s">
        <v>162</v>
      </c>
      <c r="B25" s="377" t="s">
        <v>163</v>
      </c>
      <c r="C25" s="377" t="s">
        <v>215</v>
      </c>
      <c r="D25" s="377" t="s">
        <v>216</v>
      </c>
      <c r="E25" s="377" t="s">
        <v>238</v>
      </c>
      <c r="F25" s="383" t="s">
        <v>239</v>
      </c>
      <c r="G25" s="377" t="s">
        <v>168</v>
      </c>
      <c r="H25" s="379"/>
      <c r="I25" s="379"/>
      <c r="J25" s="377" t="s">
        <v>169</v>
      </c>
      <c r="K25" s="377" t="s">
        <v>218</v>
      </c>
      <c r="L25" s="377" t="s">
        <v>187</v>
      </c>
      <c r="M25" s="377" t="s">
        <v>219</v>
      </c>
      <c r="N25" s="377" t="s">
        <v>220</v>
      </c>
      <c r="O25" s="380">
        <v>0</v>
      </c>
      <c r="P25" s="386">
        <v>0</v>
      </c>
      <c r="Q25" s="386">
        <v>0</v>
      </c>
      <c r="R25" s="381">
        <v>0</v>
      </c>
      <c r="S25" s="386">
        <v>0</v>
      </c>
      <c r="T25" s="381">
        <v>10028</v>
      </c>
      <c r="U25" s="381">
        <v>0</v>
      </c>
      <c r="V25" s="381">
        <v>4120.7299999999996</v>
      </c>
      <c r="W25" s="381">
        <v>0</v>
      </c>
      <c r="X25" s="381">
        <v>0</v>
      </c>
      <c r="Y25" s="381">
        <v>0</v>
      </c>
      <c r="Z25" s="381">
        <v>0</v>
      </c>
      <c r="AA25" s="379"/>
      <c r="AB25" s="377" t="s">
        <v>45</v>
      </c>
      <c r="AC25" s="377" t="s">
        <v>45</v>
      </c>
      <c r="AD25" s="379"/>
      <c r="AE25" s="379"/>
      <c r="AF25" s="379"/>
      <c r="AG25" s="379"/>
      <c r="AH25" s="380">
        <v>0</v>
      </c>
      <c r="AI25" s="380">
        <v>0</v>
      </c>
      <c r="AJ25" s="379"/>
      <c r="AK25" s="379"/>
      <c r="AL25" s="377" t="s">
        <v>181</v>
      </c>
      <c r="AM25" s="379"/>
      <c r="AN25" s="379"/>
      <c r="AO25" s="380">
        <v>0</v>
      </c>
      <c r="AP25" s="386">
        <v>0</v>
      </c>
      <c r="AQ25" s="386">
        <v>0</v>
      </c>
      <c r="AR25" s="385"/>
      <c r="AS25" s="388">
        <f t="shared" si="27"/>
        <v>0</v>
      </c>
      <c r="AT25">
        <f t="shared" si="28"/>
        <v>0</v>
      </c>
      <c r="AU25" s="388" t="str">
        <f>IF(AT25=0,"",IF(AND(AT25=1,M25="F",SUMIF(C2:C33,C25,AS2:AS33)&lt;=1),SUMIF(C2:C33,C25,AS2:AS33),IF(AND(AT25=1,M25="F",SUMIF(C2:C33,C25,AS2:AS33)&gt;1),1,"")))</f>
        <v/>
      </c>
      <c r="AV25" s="388" t="str">
        <f>IF(AT25=0,"",IF(AND(AT25=3,M25="F",SUMIF(C2:C33,C25,AS2:AS33)&lt;=1),SUMIF(C2:C33,C25,AS2:AS33),IF(AND(AT25=3,M25="F",SUMIF(C2:C33,C25,AS2:AS33)&gt;1),1,"")))</f>
        <v/>
      </c>
      <c r="AW25" s="388">
        <f>SUMIF(C2:C33,C25,O2:O33)</f>
        <v>0</v>
      </c>
      <c r="AX25" s="388">
        <f>IF(AND(M25="F",AS25&lt;&gt;0),SUMIF(C2:C33,C25,W2:W33),0)</f>
        <v>0</v>
      </c>
      <c r="AY25" s="388" t="str">
        <f t="shared" si="29"/>
        <v/>
      </c>
      <c r="AZ25" s="388" t="str">
        <f t="shared" si="30"/>
        <v/>
      </c>
      <c r="BA25" s="388">
        <f t="shared" si="31"/>
        <v>0</v>
      </c>
      <c r="BB25" s="388">
        <f t="shared" si="0"/>
        <v>0</v>
      </c>
      <c r="BC25" s="388">
        <f t="shared" si="1"/>
        <v>0</v>
      </c>
      <c r="BD25" s="388">
        <f t="shared" si="2"/>
        <v>0</v>
      </c>
      <c r="BE25" s="388">
        <f t="shared" si="3"/>
        <v>0</v>
      </c>
      <c r="BF25" s="388">
        <f t="shared" si="4"/>
        <v>0</v>
      </c>
      <c r="BG25" s="388">
        <f t="shared" si="5"/>
        <v>0</v>
      </c>
      <c r="BH25" s="388">
        <f t="shared" si="6"/>
        <v>0</v>
      </c>
      <c r="BI25" s="388">
        <f t="shared" si="7"/>
        <v>0</v>
      </c>
      <c r="BJ25" s="388">
        <f t="shared" si="8"/>
        <v>0</v>
      </c>
      <c r="BK25" s="388">
        <f t="shared" si="9"/>
        <v>0</v>
      </c>
      <c r="BL25" s="388">
        <f t="shared" si="32"/>
        <v>0</v>
      </c>
      <c r="BM25" s="388">
        <f t="shared" si="33"/>
        <v>0</v>
      </c>
      <c r="BN25" s="388">
        <f t="shared" si="10"/>
        <v>0</v>
      </c>
      <c r="BO25" s="388">
        <f t="shared" si="11"/>
        <v>0</v>
      </c>
      <c r="BP25" s="388">
        <f t="shared" si="12"/>
        <v>0</v>
      </c>
      <c r="BQ25" s="388">
        <f t="shared" si="13"/>
        <v>0</v>
      </c>
      <c r="BR25" s="388">
        <f t="shared" si="14"/>
        <v>0</v>
      </c>
      <c r="BS25" s="388">
        <f t="shared" si="15"/>
        <v>0</v>
      </c>
      <c r="BT25" s="388">
        <f t="shared" si="16"/>
        <v>0</v>
      </c>
      <c r="BU25" s="388">
        <f t="shared" si="17"/>
        <v>0</v>
      </c>
      <c r="BV25" s="388">
        <f t="shared" si="18"/>
        <v>0</v>
      </c>
      <c r="BW25" s="388">
        <f t="shared" si="19"/>
        <v>0</v>
      </c>
      <c r="BX25" s="388">
        <f t="shared" si="34"/>
        <v>0</v>
      </c>
      <c r="BY25" s="388">
        <f t="shared" si="35"/>
        <v>0</v>
      </c>
      <c r="BZ25" s="388">
        <f t="shared" si="36"/>
        <v>0</v>
      </c>
      <c r="CA25" s="388">
        <f t="shared" si="37"/>
        <v>0</v>
      </c>
      <c r="CB25" s="388">
        <f t="shared" si="38"/>
        <v>0</v>
      </c>
      <c r="CC25" s="388">
        <f t="shared" si="20"/>
        <v>0</v>
      </c>
      <c r="CD25" s="388">
        <f t="shared" si="21"/>
        <v>0</v>
      </c>
      <c r="CE25" s="388">
        <f t="shared" si="22"/>
        <v>0</v>
      </c>
      <c r="CF25" s="388">
        <f t="shared" si="23"/>
        <v>0</v>
      </c>
      <c r="CG25" s="388">
        <f t="shared" si="24"/>
        <v>0</v>
      </c>
      <c r="CH25" s="388">
        <f t="shared" si="25"/>
        <v>0</v>
      </c>
      <c r="CI25" s="388">
        <f t="shared" si="26"/>
        <v>0</v>
      </c>
      <c r="CJ25" s="388">
        <f t="shared" si="39"/>
        <v>0</v>
      </c>
      <c r="CK25" s="388" t="str">
        <f t="shared" si="40"/>
        <v/>
      </c>
      <c r="CL25" s="388">
        <f t="shared" si="41"/>
        <v>10028</v>
      </c>
      <c r="CM25" s="388">
        <f t="shared" si="42"/>
        <v>4120.7299999999996</v>
      </c>
      <c r="CN25" s="388" t="str">
        <f t="shared" si="43"/>
        <v>0494-03</v>
      </c>
    </row>
    <row r="26" spans="1:92" ht="15.75" thickBot="1">
      <c r="A26" s="377" t="s">
        <v>162</v>
      </c>
      <c r="B26" s="377" t="s">
        <v>163</v>
      </c>
      <c r="C26" s="377" t="s">
        <v>240</v>
      </c>
      <c r="D26" s="377" t="s">
        <v>241</v>
      </c>
      <c r="E26" s="377" t="s">
        <v>242</v>
      </c>
      <c r="F26" s="378" t="s">
        <v>167</v>
      </c>
      <c r="G26" s="377" t="s">
        <v>243</v>
      </c>
      <c r="H26" s="379"/>
      <c r="I26" s="379"/>
      <c r="J26" s="377" t="s">
        <v>185</v>
      </c>
      <c r="K26" s="377" t="s">
        <v>244</v>
      </c>
      <c r="L26" s="377" t="s">
        <v>187</v>
      </c>
      <c r="M26" s="377" t="s">
        <v>219</v>
      </c>
      <c r="N26" s="377" t="s">
        <v>220</v>
      </c>
      <c r="O26" s="380">
        <v>0</v>
      </c>
      <c r="P26" s="386">
        <v>1</v>
      </c>
      <c r="Q26" s="386">
        <v>0</v>
      </c>
      <c r="R26" s="381">
        <v>0</v>
      </c>
      <c r="S26" s="386">
        <v>0</v>
      </c>
      <c r="T26" s="381">
        <v>0</v>
      </c>
      <c r="U26" s="381">
        <v>0</v>
      </c>
      <c r="V26" s="381">
        <v>0</v>
      </c>
      <c r="W26" s="381">
        <v>0</v>
      </c>
      <c r="X26" s="381">
        <v>0</v>
      </c>
      <c r="Y26" s="381">
        <v>0</v>
      </c>
      <c r="Z26" s="381">
        <v>0</v>
      </c>
      <c r="AA26" s="379"/>
      <c r="AB26" s="377" t="s">
        <v>45</v>
      </c>
      <c r="AC26" s="377" t="s">
        <v>45</v>
      </c>
      <c r="AD26" s="379"/>
      <c r="AE26" s="379"/>
      <c r="AF26" s="379"/>
      <c r="AG26" s="379"/>
      <c r="AH26" s="380">
        <v>0</v>
      </c>
      <c r="AI26" s="380">
        <v>0</v>
      </c>
      <c r="AJ26" s="379"/>
      <c r="AK26" s="379"/>
      <c r="AL26" s="377" t="s">
        <v>181</v>
      </c>
      <c r="AM26" s="379"/>
      <c r="AN26" s="379"/>
      <c r="AO26" s="380">
        <v>0</v>
      </c>
      <c r="AP26" s="386">
        <v>0</v>
      </c>
      <c r="AQ26" s="386">
        <v>0</v>
      </c>
      <c r="AR26" s="385"/>
      <c r="AS26" s="388">
        <f t="shared" si="27"/>
        <v>0</v>
      </c>
      <c r="AT26">
        <f t="shared" si="28"/>
        <v>0</v>
      </c>
      <c r="AU26" s="388" t="str">
        <f>IF(AT26=0,"",IF(AND(AT26=1,M26="F",SUMIF(C2:C33,C26,AS2:AS33)&lt;=1),SUMIF(C2:C33,C26,AS2:AS33),IF(AND(AT26=1,M26="F",SUMIF(C2:C33,C26,AS2:AS33)&gt;1),1,"")))</f>
        <v/>
      </c>
      <c r="AV26" s="388" t="str">
        <f>IF(AT26=0,"",IF(AND(AT26=3,M26="F",SUMIF(C2:C33,C26,AS2:AS33)&lt;=1),SUMIF(C2:C33,C26,AS2:AS33),IF(AND(AT26=3,M26="F",SUMIF(C2:C33,C26,AS2:AS33)&gt;1),1,"")))</f>
        <v/>
      </c>
      <c r="AW26" s="388">
        <f>SUMIF(C2:C33,C26,O2:O33)</f>
        <v>0</v>
      </c>
      <c r="AX26" s="388">
        <f>IF(AND(M26="F",AS26&lt;&gt;0),SUMIF(C2:C33,C26,W2:W33),0)</f>
        <v>0</v>
      </c>
      <c r="AY26" s="388" t="str">
        <f t="shared" si="29"/>
        <v/>
      </c>
      <c r="AZ26" s="388" t="str">
        <f t="shared" si="30"/>
        <v/>
      </c>
      <c r="BA26" s="388">
        <f t="shared" si="31"/>
        <v>0</v>
      </c>
      <c r="BB26" s="388">
        <f t="shared" si="0"/>
        <v>0</v>
      </c>
      <c r="BC26" s="388">
        <f t="shared" si="1"/>
        <v>0</v>
      </c>
      <c r="BD26" s="388">
        <f t="shared" si="2"/>
        <v>0</v>
      </c>
      <c r="BE26" s="388">
        <f t="shared" si="3"/>
        <v>0</v>
      </c>
      <c r="BF26" s="388">
        <f t="shared" si="4"/>
        <v>0</v>
      </c>
      <c r="BG26" s="388">
        <f t="shared" si="5"/>
        <v>0</v>
      </c>
      <c r="BH26" s="388">
        <f t="shared" si="6"/>
        <v>0</v>
      </c>
      <c r="BI26" s="388">
        <f t="shared" si="7"/>
        <v>0</v>
      </c>
      <c r="BJ26" s="388">
        <f t="shared" si="8"/>
        <v>0</v>
      </c>
      <c r="BK26" s="388">
        <f t="shared" si="9"/>
        <v>0</v>
      </c>
      <c r="BL26" s="388">
        <f t="shared" si="32"/>
        <v>0</v>
      </c>
      <c r="BM26" s="388">
        <f t="shared" si="33"/>
        <v>0</v>
      </c>
      <c r="BN26" s="388">
        <f t="shared" si="10"/>
        <v>0</v>
      </c>
      <c r="BO26" s="388">
        <f t="shared" si="11"/>
        <v>0</v>
      </c>
      <c r="BP26" s="388">
        <f t="shared" si="12"/>
        <v>0</v>
      </c>
      <c r="BQ26" s="388">
        <f t="shared" si="13"/>
        <v>0</v>
      </c>
      <c r="BR26" s="388">
        <f t="shared" si="14"/>
        <v>0</v>
      </c>
      <c r="BS26" s="388">
        <f t="shared" si="15"/>
        <v>0</v>
      </c>
      <c r="BT26" s="388">
        <f t="shared" si="16"/>
        <v>0</v>
      </c>
      <c r="BU26" s="388">
        <f t="shared" si="17"/>
        <v>0</v>
      </c>
      <c r="BV26" s="388">
        <f t="shared" si="18"/>
        <v>0</v>
      </c>
      <c r="BW26" s="388">
        <f t="shared" si="19"/>
        <v>0</v>
      </c>
      <c r="BX26" s="388">
        <f t="shared" si="34"/>
        <v>0</v>
      </c>
      <c r="BY26" s="388">
        <f t="shared" si="35"/>
        <v>0</v>
      </c>
      <c r="BZ26" s="388">
        <f t="shared" si="36"/>
        <v>0</v>
      </c>
      <c r="CA26" s="388">
        <f t="shared" si="37"/>
        <v>0</v>
      </c>
      <c r="CB26" s="388">
        <f t="shared" si="38"/>
        <v>0</v>
      </c>
      <c r="CC26" s="388">
        <f t="shared" si="20"/>
        <v>0</v>
      </c>
      <c r="CD26" s="388">
        <f t="shared" si="21"/>
        <v>0</v>
      </c>
      <c r="CE26" s="388">
        <f t="shared" si="22"/>
        <v>0</v>
      </c>
      <c r="CF26" s="388">
        <f t="shared" si="23"/>
        <v>0</v>
      </c>
      <c r="CG26" s="388">
        <f t="shared" si="24"/>
        <v>0</v>
      </c>
      <c r="CH26" s="388">
        <f t="shared" si="25"/>
        <v>0</v>
      </c>
      <c r="CI26" s="388">
        <f t="shared" si="26"/>
        <v>0</v>
      </c>
      <c r="CJ26" s="388">
        <f t="shared" si="39"/>
        <v>0</v>
      </c>
      <c r="CK26" s="388" t="str">
        <f t="shared" si="40"/>
        <v/>
      </c>
      <c r="CL26" s="388">
        <f t="shared" si="41"/>
        <v>0</v>
      </c>
      <c r="CM26" s="388">
        <f t="shared" si="42"/>
        <v>0</v>
      </c>
      <c r="CN26" s="388" t="str">
        <f t="shared" si="43"/>
        <v>0199-00</v>
      </c>
    </row>
    <row r="27" spans="1:92" ht="15.75" thickBot="1">
      <c r="A27" s="377" t="s">
        <v>162</v>
      </c>
      <c r="B27" s="377" t="s">
        <v>163</v>
      </c>
      <c r="C27" s="377" t="s">
        <v>225</v>
      </c>
      <c r="D27" s="377" t="s">
        <v>216</v>
      </c>
      <c r="E27" s="377" t="s">
        <v>242</v>
      </c>
      <c r="F27" s="378" t="s">
        <v>167</v>
      </c>
      <c r="G27" s="377" t="s">
        <v>243</v>
      </c>
      <c r="H27" s="379"/>
      <c r="I27" s="379"/>
      <c r="J27" s="377" t="s">
        <v>169</v>
      </c>
      <c r="K27" s="377" t="s">
        <v>218</v>
      </c>
      <c r="L27" s="377" t="s">
        <v>187</v>
      </c>
      <c r="M27" s="377" t="s">
        <v>171</v>
      </c>
      <c r="N27" s="377" t="s">
        <v>172</v>
      </c>
      <c r="O27" s="380">
        <v>1</v>
      </c>
      <c r="P27" s="386">
        <v>0</v>
      </c>
      <c r="Q27" s="386">
        <v>0</v>
      </c>
      <c r="R27" s="381">
        <v>80</v>
      </c>
      <c r="S27" s="386">
        <v>0</v>
      </c>
      <c r="T27" s="381">
        <v>0</v>
      </c>
      <c r="U27" s="381">
        <v>0</v>
      </c>
      <c r="V27" s="381">
        <v>1.46</v>
      </c>
      <c r="W27" s="381">
        <v>0</v>
      </c>
      <c r="X27" s="381">
        <v>0</v>
      </c>
      <c r="Y27" s="381">
        <v>0</v>
      </c>
      <c r="Z27" s="381">
        <v>0</v>
      </c>
      <c r="AA27" s="377" t="s">
        <v>226</v>
      </c>
      <c r="AB27" s="377" t="s">
        <v>227</v>
      </c>
      <c r="AC27" s="377" t="s">
        <v>228</v>
      </c>
      <c r="AD27" s="377" t="s">
        <v>229</v>
      </c>
      <c r="AE27" s="377" t="s">
        <v>218</v>
      </c>
      <c r="AF27" s="377" t="s">
        <v>177</v>
      </c>
      <c r="AG27" s="377" t="s">
        <v>178</v>
      </c>
      <c r="AH27" s="382">
        <v>26.75</v>
      </c>
      <c r="AI27" s="380">
        <v>1656</v>
      </c>
      <c r="AJ27" s="377" t="s">
        <v>179</v>
      </c>
      <c r="AK27" s="377" t="s">
        <v>180</v>
      </c>
      <c r="AL27" s="377" t="s">
        <v>181</v>
      </c>
      <c r="AM27" s="377" t="s">
        <v>192</v>
      </c>
      <c r="AN27" s="377" t="s">
        <v>66</v>
      </c>
      <c r="AO27" s="380">
        <v>80</v>
      </c>
      <c r="AP27" s="386">
        <v>1</v>
      </c>
      <c r="AQ27" s="386">
        <v>0</v>
      </c>
      <c r="AR27" s="384" t="s">
        <v>182</v>
      </c>
      <c r="AS27" s="388">
        <f t="shared" si="27"/>
        <v>0</v>
      </c>
      <c r="AT27">
        <f t="shared" si="28"/>
        <v>0</v>
      </c>
      <c r="AU27" s="388" t="str">
        <f>IF(AT27=0,"",IF(AND(AT27=1,M27="F",SUMIF(C2:C33,C27,AS2:AS33)&lt;=1),SUMIF(C2:C33,C27,AS2:AS33),IF(AND(AT27=1,M27="F",SUMIF(C2:C33,C27,AS2:AS33)&gt;1),1,"")))</f>
        <v/>
      </c>
      <c r="AV27" s="388" t="str">
        <f>IF(AT27=0,"",IF(AND(AT27=3,M27="F",SUMIF(C2:C33,C27,AS2:AS33)&lt;=1),SUMIF(C2:C33,C27,AS2:AS33),IF(AND(AT27=3,M27="F",SUMIF(C2:C33,C27,AS2:AS33)&gt;1),1,"")))</f>
        <v/>
      </c>
      <c r="AW27" s="388">
        <f>SUMIF(C2:C33,C27,O2:O33)</f>
        <v>3</v>
      </c>
      <c r="AX27" s="388">
        <f>IF(AND(M27="F",AS27&lt;&gt;0),SUMIF(C2:C33,C27,W2:W33),0)</f>
        <v>0</v>
      </c>
      <c r="AY27" s="388" t="str">
        <f t="shared" si="29"/>
        <v/>
      </c>
      <c r="AZ27" s="388" t="str">
        <f t="shared" si="30"/>
        <v/>
      </c>
      <c r="BA27" s="388">
        <f t="shared" si="31"/>
        <v>0</v>
      </c>
      <c r="BB27" s="388">
        <f t="shared" si="0"/>
        <v>0</v>
      </c>
      <c r="BC27" s="388">
        <f t="shared" si="1"/>
        <v>0</v>
      </c>
      <c r="BD27" s="388">
        <f t="shared" si="2"/>
        <v>0</v>
      </c>
      <c r="BE27" s="388">
        <f t="shared" si="3"/>
        <v>0</v>
      </c>
      <c r="BF27" s="388">
        <f t="shared" si="4"/>
        <v>0</v>
      </c>
      <c r="BG27" s="388">
        <f t="shared" si="5"/>
        <v>0</v>
      </c>
      <c r="BH27" s="388">
        <f t="shared" si="6"/>
        <v>0</v>
      </c>
      <c r="BI27" s="388">
        <f t="shared" si="7"/>
        <v>0</v>
      </c>
      <c r="BJ27" s="388">
        <f t="shared" si="8"/>
        <v>0</v>
      </c>
      <c r="BK27" s="388">
        <f t="shared" si="9"/>
        <v>0</v>
      </c>
      <c r="BL27" s="388">
        <f t="shared" si="32"/>
        <v>0</v>
      </c>
      <c r="BM27" s="388">
        <f t="shared" si="33"/>
        <v>0</v>
      </c>
      <c r="BN27" s="388">
        <f t="shared" si="10"/>
        <v>0</v>
      </c>
      <c r="BO27" s="388">
        <f t="shared" si="11"/>
        <v>0</v>
      </c>
      <c r="BP27" s="388">
        <f t="shared" si="12"/>
        <v>0</v>
      </c>
      <c r="BQ27" s="388">
        <f t="shared" si="13"/>
        <v>0</v>
      </c>
      <c r="BR27" s="388">
        <f t="shared" si="14"/>
        <v>0</v>
      </c>
      <c r="BS27" s="388">
        <f t="shared" si="15"/>
        <v>0</v>
      </c>
      <c r="BT27" s="388">
        <f t="shared" si="16"/>
        <v>0</v>
      </c>
      <c r="BU27" s="388">
        <f t="shared" si="17"/>
        <v>0</v>
      </c>
      <c r="BV27" s="388">
        <f t="shared" si="18"/>
        <v>0</v>
      </c>
      <c r="BW27" s="388">
        <f t="shared" si="19"/>
        <v>0</v>
      </c>
      <c r="BX27" s="388">
        <f t="shared" si="34"/>
        <v>0</v>
      </c>
      <c r="BY27" s="388">
        <f t="shared" si="35"/>
        <v>0</v>
      </c>
      <c r="BZ27" s="388">
        <f t="shared" si="36"/>
        <v>0</v>
      </c>
      <c r="CA27" s="388">
        <f t="shared" si="37"/>
        <v>0</v>
      </c>
      <c r="CB27" s="388">
        <f t="shared" si="38"/>
        <v>0</v>
      </c>
      <c r="CC27" s="388">
        <f t="shared" si="20"/>
        <v>0</v>
      </c>
      <c r="CD27" s="388">
        <f t="shared" si="21"/>
        <v>0</v>
      </c>
      <c r="CE27" s="388">
        <f t="shared" si="22"/>
        <v>0</v>
      </c>
      <c r="CF27" s="388">
        <f t="shared" si="23"/>
        <v>0</v>
      </c>
      <c r="CG27" s="388">
        <f t="shared" si="24"/>
        <v>0</v>
      </c>
      <c r="CH27" s="388">
        <f t="shared" si="25"/>
        <v>0</v>
      </c>
      <c r="CI27" s="388">
        <f t="shared" si="26"/>
        <v>0</v>
      </c>
      <c r="CJ27" s="388">
        <f t="shared" si="39"/>
        <v>0</v>
      </c>
      <c r="CK27" s="388" t="str">
        <f t="shared" si="40"/>
        <v/>
      </c>
      <c r="CL27" s="388" t="str">
        <f t="shared" si="41"/>
        <v/>
      </c>
      <c r="CM27" s="388" t="str">
        <f t="shared" si="42"/>
        <v/>
      </c>
      <c r="CN27" s="388" t="str">
        <f t="shared" si="43"/>
        <v>0199-00</v>
      </c>
    </row>
    <row r="28" spans="1:92" ht="15.75" thickBot="1">
      <c r="A28" s="377" t="s">
        <v>162</v>
      </c>
      <c r="B28" s="377" t="s">
        <v>163</v>
      </c>
      <c r="C28" s="377" t="s">
        <v>183</v>
      </c>
      <c r="D28" s="377" t="s">
        <v>184</v>
      </c>
      <c r="E28" s="377" t="s">
        <v>242</v>
      </c>
      <c r="F28" s="378" t="s">
        <v>167</v>
      </c>
      <c r="G28" s="377" t="s">
        <v>243</v>
      </c>
      <c r="H28" s="379"/>
      <c r="I28" s="379"/>
      <c r="J28" s="377" t="s">
        <v>185</v>
      </c>
      <c r="K28" s="377" t="s">
        <v>186</v>
      </c>
      <c r="L28" s="377" t="s">
        <v>187</v>
      </c>
      <c r="M28" s="377" t="s">
        <v>171</v>
      </c>
      <c r="N28" s="377" t="s">
        <v>172</v>
      </c>
      <c r="O28" s="380">
        <v>1</v>
      </c>
      <c r="P28" s="386">
        <v>0</v>
      </c>
      <c r="Q28" s="386">
        <v>0</v>
      </c>
      <c r="R28" s="381">
        <v>80</v>
      </c>
      <c r="S28" s="386">
        <v>0</v>
      </c>
      <c r="T28" s="381">
        <v>20.7</v>
      </c>
      <c r="U28" s="381">
        <v>0</v>
      </c>
      <c r="V28" s="381">
        <v>-86.94</v>
      </c>
      <c r="W28" s="381">
        <v>0</v>
      </c>
      <c r="X28" s="381">
        <v>0</v>
      </c>
      <c r="Y28" s="381">
        <v>0</v>
      </c>
      <c r="Z28" s="381">
        <v>0</v>
      </c>
      <c r="AA28" s="377" t="s">
        <v>188</v>
      </c>
      <c r="AB28" s="377" t="s">
        <v>189</v>
      </c>
      <c r="AC28" s="377" t="s">
        <v>190</v>
      </c>
      <c r="AD28" s="377" t="s">
        <v>191</v>
      </c>
      <c r="AE28" s="377" t="s">
        <v>186</v>
      </c>
      <c r="AF28" s="377" t="s">
        <v>177</v>
      </c>
      <c r="AG28" s="377" t="s">
        <v>178</v>
      </c>
      <c r="AH28" s="382">
        <v>26.24</v>
      </c>
      <c r="AI28" s="382">
        <v>13781.5</v>
      </c>
      <c r="AJ28" s="377" t="s">
        <v>179</v>
      </c>
      <c r="AK28" s="377" t="s">
        <v>180</v>
      </c>
      <c r="AL28" s="377" t="s">
        <v>181</v>
      </c>
      <c r="AM28" s="377" t="s">
        <v>192</v>
      </c>
      <c r="AN28" s="377" t="s">
        <v>66</v>
      </c>
      <c r="AO28" s="380">
        <v>80</v>
      </c>
      <c r="AP28" s="386">
        <v>1</v>
      </c>
      <c r="AQ28" s="386">
        <v>0</v>
      </c>
      <c r="AR28" s="384" t="s">
        <v>182</v>
      </c>
      <c r="AS28" s="388">
        <f t="shared" si="27"/>
        <v>0</v>
      </c>
      <c r="AT28">
        <f t="shared" si="28"/>
        <v>0</v>
      </c>
      <c r="AU28" s="388" t="str">
        <f>IF(AT28=0,"",IF(AND(AT28=1,M28="F",SUMIF(C2:C33,C28,AS2:AS33)&lt;=1),SUMIF(C2:C33,C28,AS2:AS33),IF(AND(AT28=1,M28="F",SUMIF(C2:C33,C28,AS2:AS33)&gt;1),1,"")))</f>
        <v/>
      </c>
      <c r="AV28" s="388" t="str">
        <f>IF(AT28=0,"",IF(AND(AT28=3,M28="F",SUMIF(C2:C33,C28,AS2:AS33)&lt;=1),SUMIF(C2:C33,C28,AS2:AS33),IF(AND(AT28=3,M28="F",SUMIF(C2:C33,C28,AS2:AS33)&gt;1),1,"")))</f>
        <v/>
      </c>
      <c r="AW28" s="388">
        <f>SUMIF(C2:C33,C28,O2:O33)</f>
        <v>4</v>
      </c>
      <c r="AX28" s="388">
        <f>IF(AND(M28="F",AS28&lt;&gt;0),SUMIF(C2:C33,C28,W2:W33),0)</f>
        <v>0</v>
      </c>
      <c r="AY28" s="388" t="str">
        <f t="shared" si="29"/>
        <v/>
      </c>
      <c r="AZ28" s="388" t="str">
        <f t="shared" si="30"/>
        <v/>
      </c>
      <c r="BA28" s="388">
        <f t="shared" si="31"/>
        <v>0</v>
      </c>
      <c r="BB28" s="388">
        <f t="shared" si="0"/>
        <v>0</v>
      </c>
      <c r="BC28" s="388">
        <f t="shared" si="1"/>
        <v>0</v>
      </c>
      <c r="BD28" s="388">
        <f t="shared" si="2"/>
        <v>0</v>
      </c>
      <c r="BE28" s="388">
        <f t="shared" si="3"/>
        <v>0</v>
      </c>
      <c r="BF28" s="388">
        <f t="shared" si="4"/>
        <v>0</v>
      </c>
      <c r="BG28" s="388">
        <f t="shared" si="5"/>
        <v>0</v>
      </c>
      <c r="BH28" s="388">
        <f t="shared" si="6"/>
        <v>0</v>
      </c>
      <c r="BI28" s="388">
        <f t="shared" si="7"/>
        <v>0</v>
      </c>
      <c r="BJ28" s="388">
        <f t="shared" si="8"/>
        <v>0</v>
      </c>
      <c r="BK28" s="388">
        <f t="shared" si="9"/>
        <v>0</v>
      </c>
      <c r="BL28" s="388">
        <f t="shared" si="32"/>
        <v>0</v>
      </c>
      <c r="BM28" s="388">
        <f t="shared" si="33"/>
        <v>0</v>
      </c>
      <c r="BN28" s="388">
        <f t="shared" si="10"/>
        <v>0</v>
      </c>
      <c r="BO28" s="388">
        <f t="shared" si="11"/>
        <v>0</v>
      </c>
      <c r="BP28" s="388">
        <f t="shared" si="12"/>
        <v>0</v>
      </c>
      <c r="BQ28" s="388">
        <f t="shared" si="13"/>
        <v>0</v>
      </c>
      <c r="BR28" s="388">
        <f t="shared" si="14"/>
        <v>0</v>
      </c>
      <c r="BS28" s="388">
        <f t="shared" si="15"/>
        <v>0</v>
      </c>
      <c r="BT28" s="388">
        <f t="shared" si="16"/>
        <v>0</v>
      </c>
      <c r="BU28" s="388">
        <f t="shared" si="17"/>
        <v>0</v>
      </c>
      <c r="BV28" s="388">
        <f t="shared" si="18"/>
        <v>0</v>
      </c>
      <c r="BW28" s="388">
        <f t="shared" si="19"/>
        <v>0</v>
      </c>
      <c r="BX28" s="388">
        <f t="shared" si="34"/>
        <v>0</v>
      </c>
      <c r="BY28" s="388">
        <f t="shared" si="35"/>
        <v>0</v>
      </c>
      <c r="BZ28" s="388">
        <f t="shared" si="36"/>
        <v>0</v>
      </c>
      <c r="CA28" s="388">
        <f t="shared" si="37"/>
        <v>0</v>
      </c>
      <c r="CB28" s="388">
        <f t="shared" si="38"/>
        <v>0</v>
      </c>
      <c r="CC28" s="388">
        <f t="shared" si="20"/>
        <v>0</v>
      </c>
      <c r="CD28" s="388">
        <f t="shared" si="21"/>
        <v>0</v>
      </c>
      <c r="CE28" s="388">
        <f t="shared" si="22"/>
        <v>0</v>
      </c>
      <c r="CF28" s="388">
        <f t="shared" si="23"/>
        <v>0</v>
      </c>
      <c r="CG28" s="388">
        <f t="shared" si="24"/>
        <v>0</v>
      </c>
      <c r="CH28" s="388">
        <f t="shared" si="25"/>
        <v>0</v>
      </c>
      <c r="CI28" s="388">
        <f t="shared" si="26"/>
        <v>0</v>
      </c>
      <c r="CJ28" s="388">
        <f t="shared" si="39"/>
        <v>0</v>
      </c>
      <c r="CK28" s="388" t="str">
        <f t="shared" si="40"/>
        <v/>
      </c>
      <c r="CL28" s="388" t="str">
        <f t="shared" si="41"/>
        <v/>
      </c>
      <c r="CM28" s="388" t="str">
        <f t="shared" si="42"/>
        <v/>
      </c>
      <c r="CN28" s="388" t="str">
        <f t="shared" si="43"/>
        <v>0199-00</v>
      </c>
    </row>
    <row r="29" spans="1:92" ht="15.75" thickBot="1">
      <c r="A29" s="377" t="s">
        <v>162</v>
      </c>
      <c r="B29" s="377" t="s">
        <v>163</v>
      </c>
      <c r="C29" s="377" t="s">
        <v>193</v>
      </c>
      <c r="D29" s="377" t="s">
        <v>194</v>
      </c>
      <c r="E29" s="377" t="s">
        <v>242</v>
      </c>
      <c r="F29" s="378" t="s">
        <v>167</v>
      </c>
      <c r="G29" s="377" t="s">
        <v>243</v>
      </c>
      <c r="H29" s="379"/>
      <c r="I29" s="379"/>
      <c r="J29" s="377" t="s">
        <v>169</v>
      </c>
      <c r="K29" s="377" t="s">
        <v>195</v>
      </c>
      <c r="L29" s="377" t="s">
        <v>181</v>
      </c>
      <c r="M29" s="377" t="s">
        <v>171</v>
      </c>
      <c r="N29" s="377" t="s">
        <v>172</v>
      </c>
      <c r="O29" s="380">
        <v>1</v>
      </c>
      <c r="P29" s="386">
        <v>0</v>
      </c>
      <c r="Q29" s="386">
        <v>0</v>
      </c>
      <c r="R29" s="381">
        <v>80</v>
      </c>
      <c r="S29" s="386">
        <v>0</v>
      </c>
      <c r="T29" s="381">
        <v>0</v>
      </c>
      <c r="U29" s="381">
        <v>0</v>
      </c>
      <c r="V29" s="381">
        <v>-0.01</v>
      </c>
      <c r="W29" s="381">
        <v>0</v>
      </c>
      <c r="X29" s="381">
        <v>0</v>
      </c>
      <c r="Y29" s="381">
        <v>0</v>
      </c>
      <c r="Z29" s="381">
        <v>0</v>
      </c>
      <c r="AA29" s="377" t="s">
        <v>196</v>
      </c>
      <c r="AB29" s="377" t="s">
        <v>197</v>
      </c>
      <c r="AC29" s="377" t="s">
        <v>198</v>
      </c>
      <c r="AD29" s="377" t="s">
        <v>199</v>
      </c>
      <c r="AE29" s="377" t="s">
        <v>195</v>
      </c>
      <c r="AF29" s="377" t="s">
        <v>177</v>
      </c>
      <c r="AG29" s="377" t="s">
        <v>178</v>
      </c>
      <c r="AH29" s="382">
        <v>36.520000000000003</v>
      </c>
      <c r="AI29" s="382">
        <v>7063.6</v>
      </c>
      <c r="AJ29" s="377" t="s">
        <v>179</v>
      </c>
      <c r="AK29" s="377" t="s">
        <v>180</v>
      </c>
      <c r="AL29" s="377" t="s">
        <v>181</v>
      </c>
      <c r="AM29" s="377" t="s">
        <v>192</v>
      </c>
      <c r="AN29" s="377" t="s">
        <v>66</v>
      </c>
      <c r="AO29" s="380">
        <v>80</v>
      </c>
      <c r="AP29" s="386">
        <v>1</v>
      </c>
      <c r="AQ29" s="386">
        <v>0</v>
      </c>
      <c r="AR29" s="384" t="s">
        <v>182</v>
      </c>
      <c r="AS29" s="388">
        <f t="shared" si="27"/>
        <v>0</v>
      </c>
      <c r="AT29">
        <f t="shared" si="28"/>
        <v>0</v>
      </c>
      <c r="AU29" s="388" t="str">
        <f>IF(AT29=0,"",IF(AND(AT29=1,M29="F",SUMIF(C2:C33,C29,AS2:AS33)&lt;=1),SUMIF(C2:C33,C29,AS2:AS33),IF(AND(AT29=1,M29="F",SUMIF(C2:C33,C29,AS2:AS33)&gt;1),1,"")))</f>
        <v/>
      </c>
      <c r="AV29" s="388" t="str">
        <f>IF(AT29=0,"",IF(AND(AT29=3,M29="F",SUMIF(C2:C33,C29,AS2:AS33)&lt;=1),SUMIF(C2:C33,C29,AS2:AS33),IF(AND(AT29=3,M29="F",SUMIF(C2:C33,C29,AS2:AS33)&gt;1),1,"")))</f>
        <v/>
      </c>
      <c r="AW29" s="388">
        <f>SUMIF(C2:C33,C29,O2:O33)</f>
        <v>4</v>
      </c>
      <c r="AX29" s="388">
        <f>IF(AND(M29="F",AS29&lt;&gt;0),SUMIF(C2:C33,C29,W2:W33),0)</f>
        <v>0</v>
      </c>
      <c r="AY29" s="388" t="str">
        <f t="shared" si="29"/>
        <v/>
      </c>
      <c r="AZ29" s="388" t="str">
        <f t="shared" si="30"/>
        <v/>
      </c>
      <c r="BA29" s="388">
        <f t="shared" si="31"/>
        <v>0</v>
      </c>
      <c r="BB29" s="388">
        <f t="shared" si="0"/>
        <v>0</v>
      </c>
      <c r="BC29" s="388">
        <f t="shared" si="1"/>
        <v>0</v>
      </c>
      <c r="BD29" s="388">
        <f t="shared" si="2"/>
        <v>0</v>
      </c>
      <c r="BE29" s="388">
        <f t="shared" si="3"/>
        <v>0</v>
      </c>
      <c r="BF29" s="388">
        <f t="shared" si="4"/>
        <v>0</v>
      </c>
      <c r="BG29" s="388">
        <f t="shared" si="5"/>
        <v>0</v>
      </c>
      <c r="BH29" s="388">
        <f t="shared" si="6"/>
        <v>0</v>
      </c>
      <c r="BI29" s="388">
        <f t="shared" si="7"/>
        <v>0</v>
      </c>
      <c r="BJ29" s="388">
        <f t="shared" si="8"/>
        <v>0</v>
      </c>
      <c r="BK29" s="388">
        <f t="shared" si="9"/>
        <v>0</v>
      </c>
      <c r="BL29" s="388">
        <f t="shared" si="32"/>
        <v>0</v>
      </c>
      <c r="BM29" s="388">
        <f t="shared" si="33"/>
        <v>0</v>
      </c>
      <c r="BN29" s="388">
        <f t="shared" si="10"/>
        <v>0</v>
      </c>
      <c r="BO29" s="388">
        <f t="shared" si="11"/>
        <v>0</v>
      </c>
      <c r="BP29" s="388">
        <f t="shared" si="12"/>
        <v>0</v>
      </c>
      <c r="BQ29" s="388">
        <f t="shared" si="13"/>
        <v>0</v>
      </c>
      <c r="BR29" s="388">
        <f t="shared" si="14"/>
        <v>0</v>
      </c>
      <c r="BS29" s="388">
        <f t="shared" si="15"/>
        <v>0</v>
      </c>
      <c r="BT29" s="388">
        <f t="shared" si="16"/>
        <v>0</v>
      </c>
      <c r="BU29" s="388">
        <f t="shared" si="17"/>
        <v>0</v>
      </c>
      <c r="BV29" s="388">
        <f t="shared" si="18"/>
        <v>0</v>
      </c>
      <c r="BW29" s="388">
        <f t="shared" si="19"/>
        <v>0</v>
      </c>
      <c r="BX29" s="388">
        <f t="shared" si="34"/>
        <v>0</v>
      </c>
      <c r="BY29" s="388">
        <f t="shared" si="35"/>
        <v>0</v>
      </c>
      <c r="BZ29" s="388">
        <f t="shared" si="36"/>
        <v>0</v>
      </c>
      <c r="CA29" s="388">
        <f t="shared" si="37"/>
        <v>0</v>
      </c>
      <c r="CB29" s="388">
        <f t="shared" si="38"/>
        <v>0</v>
      </c>
      <c r="CC29" s="388">
        <f t="shared" si="20"/>
        <v>0</v>
      </c>
      <c r="CD29" s="388">
        <f t="shared" si="21"/>
        <v>0</v>
      </c>
      <c r="CE29" s="388">
        <f t="shared" si="22"/>
        <v>0</v>
      </c>
      <c r="CF29" s="388">
        <f t="shared" si="23"/>
        <v>0</v>
      </c>
      <c r="CG29" s="388">
        <f t="shared" si="24"/>
        <v>0</v>
      </c>
      <c r="CH29" s="388">
        <f t="shared" si="25"/>
        <v>0</v>
      </c>
      <c r="CI29" s="388">
        <f t="shared" si="26"/>
        <v>0</v>
      </c>
      <c r="CJ29" s="388">
        <f t="shared" si="39"/>
        <v>0</v>
      </c>
      <c r="CK29" s="388" t="str">
        <f t="shared" si="40"/>
        <v/>
      </c>
      <c r="CL29" s="388" t="str">
        <f t="shared" si="41"/>
        <v/>
      </c>
      <c r="CM29" s="388" t="str">
        <f t="shared" si="42"/>
        <v/>
      </c>
      <c r="CN29" s="388" t="str">
        <f t="shared" si="43"/>
        <v>0199-00</v>
      </c>
    </row>
    <row r="30" spans="1:92" ht="15.75" thickBot="1">
      <c r="A30" s="377" t="s">
        <v>162</v>
      </c>
      <c r="B30" s="377" t="s">
        <v>163</v>
      </c>
      <c r="C30" s="377" t="s">
        <v>200</v>
      </c>
      <c r="D30" s="377" t="s">
        <v>201</v>
      </c>
      <c r="E30" s="377" t="s">
        <v>242</v>
      </c>
      <c r="F30" s="378" t="s">
        <v>167</v>
      </c>
      <c r="G30" s="377" t="s">
        <v>243</v>
      </c>
      <c r="H30" s="379"/>
      <c r="I30" s="379"/>
      <c r="J30" s="377" t="s">
        <v>202</v>
      </c>
      <c r="K30" s="377" t="s">
        <v>203</v>
      </c>
      <c r="L30" s="377" t="s">
        <v>181</v>
      </c>
      <c r="M30" s="377" t="s">
        <v>171</v>
      </c>
      <c r="N30" s="377" t="s">
        <v>172</v>
      </c>
      <c r="O30" s="380">
        <v>1</v>
      </c>
      <c r="P30" s="386">
        <v>0.1</v>
      </c>
      <c r="Q30" s="386">
        <v>0.1</v>
      </c>
      <c r="R30" s="381">
        <v>80</v>
      </c>
      <c r="S30" s="386">
        <v>0.1</v>
      </c>
      <c r="T30" s="381">
        <v>8010.78</v>
      </c>
      <c r="U30" s="381">
        <v>0</v>
      </c>
      <c r="V30" s="381">
        <v>4489.18</v>
      </c>
      <c r="W30" s="381">
        <v>8453.1200000000008</v>
      </c>
      <c r="X30" s="381">
        <v>2997.34</v>
      </c>
      <c r="Y30" s="381">
        <v>8453.1200000000008</v>
      </c>
      <c r="Z30" s="381">
        <v>3047.95</v>
      </c>
      <c r="AA30" s="377" t="s">
        <v>204</v>
      </c>
      <c r="AB30" s="377" t="s">
        <v>205</v>
      </c>
      <c r="AC30" s="377" t="s">
        <v>206</v>
      </c>
      <c r="AD30" s="377" t="s">
        <v>207</v>
      </c>
      <c r="AE30" s="377" t="s">
        <v>203</v>
      </c>
      <c r="AF30" s="377" t="s">
        <v>177</v>
      </c>
      <c r="AG30" s="377" t="s">
        <v>178</v>
      </c>
      <c r="AH30" s="382">
        <v>40.64</v>
      </c>
      <c r="AI30" s="382">
        <v>8864.2000000000007</v>
      </c>
      <c r="AJ30" s="377" t="s">
        <v>179</v>
      </c>
      <c r="AK30" s="377" t="s">
        <v>180</v>
      </c>
      <c r="AL30" s="377" t="s">
        <v>181</v>
      </c>
      <c r="AM30" s="377" t="s">
        <v>192</v>
      </c>
      <c r="AN30" s="377" t="s">
        <v>66</v>
      </c>
      <c r="AO30" s="380">
        <v>80</v>
      </c>
      <c r="AP30" s="386">
        <v>1</v>
      </c>
      <c r="AQ30" s="386">
        <v>0.1</v>
      </c>
      <c r="AR30" s="384" t="s">
        <v>182</v>
      </c>
      <c r="AS30" s="388">
        <f t="shared" si="27"/>
        <v>0.1</v>
      </c>
      <c r="AT30">
        <f t="shared" si="28"/>
        <v>1</v>
      </c>
      <c r="AU30" s="388">
        <f>IF(AT30=0,"",IF(AND(AT30=1,M30="F",SUMIF(C2:C33,C30,AS2:AS33)&lt;=1),SUMIF(C2:C33,C30,AS2:AS33),IF(AND(AT30=1,M30="F",SUMIF(C2:C33,C30,AS2:AS33)&gt;1),1,"")))</f>
        <v>1</v>
      </c>
      <c r="AV30" s="388" t="str">
        <f>IF(AT30=0,"",IF(AND(AT30=3,M30="F",SUMIF(C2:C33,C30,AS2:AS33)&lt;=1),SUMIF(C2:C33,C30,AS2:AS33),IF(AND(AT30=3,M30="F",SUMIF(C2:C33,C30,AS2:AS33)&gt;1),1,"")))</f>
        <v/>
      </c>
      <c r="AW30" s="388">
        <f>SUMIF(C2:C33,C30,O2:O33)</f>
        <v>4</v>
      </c>
      <c r="AX30" s="388">
        <f>IF(AND(M30="F",AS30&lt;&gt;0),SUMIF(C2:C33,C30,W2:W33),0)</f>
        <v>84531.199999999997</v>
      </c>
      <c r="AY30" s="388">
        <f t="shared" si="29"/>
        <v>8453.1200000000008</v>
      </c>
      <c r="AZ30" s="388" t="str">
        <f t="shared" si="30"/>
        <v/>
      </c>
      <c r="BA30" s="388">
        <f t="shared" si="31"/>
        <v>0</v>
      </c>
      <c r="BB30" s="388">
        <f t="shared" si="0"/>
        <v>1250</v>
      </c>
      <c r="BC30" s="388">
        <f t="shared" si="1"/>
        <v>0</v>
      </c>
      <c r="BD30" s="388">
        <f t="shared" si="2"/>
        <v>524.0934400000001</v>
      </c>
      <c r="BE30" s="388">
        <f t="shared" si="3"/>
        <v>122.57024000000001</v>
      </c>
      <c r="BF30" s="388">
        <f t="shared" si="4"/>
        <v>1009.3025280000002</v>
      </c>
      <c r="BG30" s="388">
        <f t="shared" si="5"/>
        <v>60.946995200000011</v>
      </c>
      <c r="BH30" s="388">
        <f t="shared" si="6"/>
        <v>0</v>
      </c>
      <c r="BI30" s="388">
        <f t="shared" si="7"/>
        <v>0</v>
      </c>
      <c r="BJ30" s="388">
        <f t="shared" si="8"/>
        <v>30.431232000000001</v>
      </c>
      <c r="BK30" s="388">
        <f t="shared" si="9"/>
        <v>0</v>
      </c>
      <c r="BL30" s="388">
        <f t="shared" si="32"/>
        <v>1747.3444352000001</v>
      </c>
      <c r="BM30" s="388">
        <f t="shared" si="33"/>
        <v>0</v>
      </c>
      <c r="BN30" s="388">
        <f t="shared" si="10"/>
        <v>1375</v>
      </c>
      <c r="BO30" s="388">
        <f t="shared" si="11"/>
        <v>0</v>
      </c>
      <c r="BP30" s="388">
        <f t="shared" si="12"/>
        <v>524.0934400000001</v>
      </c>
      <c r="BQ30" s="388">
        <f t="shared" si="13"/>
        <v>122.57024000000001</v>
      </c>
      <c r="BR30" s="388">
        <f t="shared" si="14"/>
        <v>945.05881600000009</v>
      </c>
      <c r="BS30" s="388">
        <f t="shared" si="15"/>
        <v>60.946995200000011</v>
      </c>
      <c r="BT30" s="388">
        <f t="shared" si="16"/>
        <v>0</v>
      </c>
      <c r="BU30" s="388">
        <f t="shared" si="17"/>
        <v>0</v>
      </c>
      <c r="BV30" s="388">
        <f t="shared" si="18"/>
        <v>20.287488</v>
      </c>
      <c r="BW30" s="388">
        <f t="shared" si="19"/>
        <v>0</v>
      </c>
      <c r="BX30" s="388">
        <f t="shared" si="34"/>
        <v>1672.9569792000002</v>
      </c>
      <c r="BY30" s="388">
        <f t="shared" si="35"/>
        <v>0</v>
      </c>
      <c r="BZ30" s="388">
        <f t="shared" si="36"/>
        <v>125</v>
      </c>
      <c r="CA30" s="388">
        <f t="shared" si="37"/>
        <v>0</v>
      </c>
      <c r="CB30" s="388">
        <f t="shared" si="38"/>
        <v>0</v>
      </c>
      <c r="CC30" s="388">
        <f t="shared" si="20"/>
        <v>0</v>
      </c>
      <c r="CD30" s="388">
        <f t="shared" si="21"/>
        <v>-64.243712000000087</v>
      </c>
      <c r="CE30" s="388">
        <f t="shared" si="22"/>
        <v>0</v>
      </c>
      <c r="CF30" s="388">
        <f t="shared" si="23"/>
        <v>0</v>
      </c>
      <c r="CG30" s="388">
        <f t="shared" si="24"/>
        <v>0</v>
      </c>
      <c r="CH30" s="388">
        <f t="shared" si="25"/>
        <v>-10.143744000000002</v>
      </c>
      <c r="CI30" s="388">
        <f t="shared" si="26"/>
        <v>0</v>
      </c>
      <c r="CJ30" s="388">
        <f t="shared" si="39"/>
        <v>-74.387456000000086</v>
      </c>
      <c r="CK30" s="388" t="str">
        <f t="shared" si="40"/>
        <v/>
      </c>
      <c r="CL30" s="388" t="str">
        <f t="shared" si="41"/>
        <v/>
      </c>
      <c r="CM30" s="388" t="str">
        <f t="shared" si="42"/>
        <v/>
      </c>
      <c r="CN30" s="388" t="str">
        <f t="shared" si="43"/>
        <v>0199-00</v>
      </c>
    </row>
    <row r="31" spans="1:92" ht="15.75" thickBot="1">
      <c r="A31" s="377" t="s">
        <v>162</v>
      </c>
      <c r="B31" s="377" t="s">
        <v>163</v>
      </c>
      <c r="C31" s="377" t="s">
        <v>208</v>
      </c>
      <c r="D31" s="377" t="s">
        <v>209</v>
      </c>
      <c r="E31" s="377" t="s">
        <v>242</v>
      </c>
      <c r="F31" s="378" t="s">
        <v>167</v>
      </c>
      <c r="G31" s="377" t="s">
        <v>243</v>
      </c>
      <c r="H31" s="379"/>
      <c r="I31" s="379"/>
      <c r="J31" s="377" t="s">
        <v>169</v>
      </c>
      <c r="K31" s="377" t="s">
        <v>210</v>
      </c>
      <c r="L31" s="377" t="s">
        <v>167</v>
      </c>
      <c r="M31" s="377" t="s">
        <v>171</v>
      </c>
      <c r="N31" s="377" t="s">
        <v>172</v>
      </c>
      <c r="O31" s="380">
        <v>1</v>
      </c>
      <c r="P31" s="386">
        <v>0</v>
      </c>
      <c r="Q31" s="386">
        <v>0</v>
      </c>
      <c r="R31" s="381">
        <v>80</v>
      </c>
      <c r="S31" s="386">
        <v>0</v>
      </c>
      <c r="T31" s="381">
        <v>24906.46</v>
      </c>
      <c r="U31" s="381">
        <v>0</v>
      </c>
      <c r="V31" s="381">
        <v>8358.7900000000009</v>
      </c>
      <c r="W31" s="381">
        <v>0</v>
      </c>
      <c r="X31" s="381">
        <v>0</v>
      </c>
      <c r="Y31" s="381">
        <v>0</v>
      </c>
      <c r="Z31" s="381">
        <v>0</v>
      </c>
      <c r="AA31" s="377" t="s">
        <v>211</v>
      </c>
      <c r="AB31" s="377" t="s">
        <v>212</v>
      </c>
      <c r="AC31" s="377" t="s">
        <v>213</v>
      </c>
      <c r="AD31" s="377" t="s">
        <v>214</v>
      </c>
      <c r="AE31" s="377" t="s">
        <v>210</v>
      </c>
      <c r="AF31" s="377" t="s">
        <v>177</v>
      </c>
      <c r="AG31" s="377" t="s">
        <v>178</v>
      </c>
      <c r="AH31" s="382">
        <v>35.24</v>
      </c>
      <c r="AI31" s="382">
        <v>24991.4</v>
      </c>
      <c r="AJ31" s="377" t="s">
        <v>179</v>
      </c>
      <c r="AK31" s="377" t="s">
        <v>180</v>
      </c>
      <c r="AL31" s="377" t="s">
        <v>181</v>
      </c>
      <c r="AM31" s="377" t="s">
        <v>192</v>
      </c>
      <c r="AN31" s="377" t="s">
        <v>66</v>
      </c>
      <c r="AO31" s="380">
        <v>80</v>
      </c>
      <c r="AP31" s="386">
        <v>1</v>
      </c>
      <c r="AQ31" s="386">
        <v>0</v>
      </c>
      <c r="AR31" s="384" t="s">
        <v>182</v>
      </c>
      <c r="AS31" s="388">
        <f t="shared" si="27"/>
        <v>0</v>
      </c>
      <c r="AT31">
        <f t="shared" si="28"/>
        <v>0</v>
      </c>
      <c r="AU31" s="388" t="str">
        <f>IF(AT31=0,"",IF(AND(AT31=1,M31="F",SUMIF(C2:C33,C31,AS2:AS33)&lt;=1),SUMIF(C2:C33,C31,AS2:AS33),IF(AND(AT31=1,M31="F",SUMIF(C2:C33,C31,AS2:AS33)&gt;1),1,"")))</f>
        <v/>
      </c>
      <c r="AV31" s="388" t="str">
        <f>IF(AT31=0,"",IF(AND(AT31=3,M31="F",SUMIF(C2:C33,C31,AS2:AS33)&lt;=1),SUMIF(C2:C33,C31,AS2:AS33),IF(AND(AT31=3,M31="F",SUMIF(C2:C33,C31,AS2:AS33)&gt;1),1,"")))</f>
        <v/>
      </c>
      <c r="AW31" s="388">
        <f>SUMIF(C2:C33,C31,O2:O33)</f>
        <v>4</v>
      </c>
      <c r="AX31" s="388">
        <f>IF(AND(M31="F",AS31&lt;&gt;0),SUMIF(C2:C33,C31,W2:W33),0)</f>
        <v>0</v>
      </c>
      <c r="AY31" s="388" t="str">
        <f t="shared" si="29"/>
        <v/>
      </c>
      <c r="AZ31" s="388" t="str">
        <f t="shared" si="30"/>
        <v/>
      </c>
      <c r="BA31" s="388">
        <f t="shared" si="31"/>
        <v>0</v>
      </c>
      <c r="BB31" s="388">
        <f t="shared" si="0"/>
        <v>0</v>
      </c>
      <c r="BC31" s="388">
        <f t="shared" si="1"/>
        <v>0</v>
      </c>
      <c r="BD31" s="388">
        <f t="shared" si="2"/>
        <v>0</v>
      </c>
      <c r="BE31" s="388">
        <f t="shared" si="3"/>
        <v>0</v>
      </c>
      <c r="BF31" s="388">
        <f t="shared" si="4"/>
        <v>0</v>
      </c>
      <c r="BG31" s="388">
        <f t="shared" si="5"/>
        <v>0</v>
      </c>
      <c r="BH31" s="388">
        <f t="shared" si="6"/>
        <v>0</v>
      </c>
      <c r="BI31" s="388">
        <f t="shared" si="7"/>
        <v>0</v>
      </c>
      <c r="BJ31" s="388">
        <f t="shared" si="8"/>
        <v>0</v>
      </c>
      <c r="BK31" s="388">
        <f t="shared" si="9"/>
        <v>0</v>
      </c>
      <c r="BL31" s="388">
        <f t="shared" si="32"/>
        <v>0</v>
      </c>
      <c r="BM31" s="388">
        <f t="shared" si="33"/>
        <v>0</v>
      </c>
      <c r="BN31" s="388">
        <f t="shared" si="10"/>
        <v>0</v>
      </c>
      <c r="BO31" s="388">
        <f t="shared" si="11"/>
        <v>0</v>
      </c>
      <c r="BP31" s="388">
        <f t="shared" si="12"/>
        <v>0</v>
      </c>
      <c r="BQ31" s="388">
        <f t="shared" si="13"/>
        <v>0</v>
      </c>
      <c r="BR31" s="388">
        <f t="shared" si="14"/>
        <v>0</v>
      </c>
      <c r="BS31" s="388">
        <f t="shared" si="15"/>
        <v>0</v>
      </c>
      <c r="BT31" s="388">
        <f t="shared" si="16"/>
        <v>0</v>
      </c>
      <c r="BU31" s="388">
        <f t="shared" si="17"/>
        <v>0</v>
      </c>
      <c r="BV31" s="388">
        <f t="shared" si="18"/>
        <v>0</v>
      </c>
      <c r="BW31" s="388">
        <f t="shared" si="19"/>
        <v>0</v>
      </c>
      <c r="BX31" s="388">
        <f t="shared" si="34"/>
        <v>0</v>
      </c>
      <c r="BY31" s="388">
        <f t="shared" si="35"/>
        <v>0</v>
      </c>
      <c r="BZ31" s="388">
        <f t="shared" si="36"/>
        <v>0</v>
      </c>
      <c r="CA31" s="388">
        <f t="shared" si="37"/>
        <v>0</v>
      </c>
      <c r="CB31" s="388">
        <f t="shared" si="38"/>
        <v>0</v>
      </c>
      <c r="CC31" s="388">
        <f t="shared" si="20"/>
        <v>0</v>
      </c>
      <c r="CD31" s="388">
        <f t="shared" si="21"/>
        <v>0</v>
      </c>
      <c r="CE31" s="388">
        <f t="shared" si="22"/>
        <v>0</v>
      </c>
      <c r="CF31" s="388">
        <f t="shared" si="23"/>
        <v>0</v>
      </c>
      <c r="CG31" s="388">
        <f t="shared" si="24"/>
        <v>0</v>
      </c>
      <c r="CH31" s="388">
        <f t="shared" si="25"/>
        <v>0</v>
      </c>
      <c r="CI31" s="388">
        <f t="shared" si="26"/>
        <v>0</v>
      </c>
      <c r="CJ31" s="388">
        <f t="shared" si="39"/>
        <v>0</v>
      </c>
      <c r="CK31" s="388" t="str">
        <f t="shared" si="40"/>
        <v/>
      </c>
      <c r="CL31" s="388" t="str">
        <f t="shared" si="41"/>
        <v/>
      </c>
      <c r="CM31" s="388" t="str">
        <f t="shared" si="42"/>
        <v/>
      </c>
      <c r="CN31" s="388" t="str">
        <f t="shared" si="43"/>
        <v>0199-00</v>
      </c>
    </row>
    <row r="32" spans="1:92" ht="15.75" thickBot="1">
      <c r="A32" s="377" t="s">
        <v>162</v>
      </c>
      <c r="B32" s="377" t="s">
        <v>163</v>
      </c>
      <c r="C32" s="377" t="s">
        <v>234</v>
      </c>
      <c r="D32" s="377" t="s">
        <v>216</v>
      </c>
      <c r="E32" s="377" t="s">
        <v>242</v>
      </c>
      <c r="F32" s="378" t="s">
        <v>167</v>
      </c>
      <c r="G32" s="377" t="s">
        <v>243</v>
      </c>
      <c r="H32" s="379"/>
      <c r="I32" s="379"/>
      <c r="J32" s="377" t="s">
        <v>169</v>
      </c>
      <c r="K32" s="377" t="s">
        <v>218</v>
      </c>
      <c r="L32" s="377" t="s">
        <v>187</v>
      </c>
      <c r="M32" s="377" t="s">
        <v>171</v>
      </c>
      <c r="N32" s="377" t="s">
        <v>172</v>
      </c>
      <c r="O32" s="380">
        <v>1</v>
      </c>
      <c r="P32" s="386">
        <v>0</v>
      </c>
      <c r="Q32" s="386">
        <v>0</v>
      </c>
      <c r="R32" s="381">
        <v>80</v>
      </c>
      <c r="S32" s="386">
        <v>0</v>
      </c>
      <c r="T32" s="381">
        <v>1962.5</v>
      </c>
      <c r="U32" s="381">
        <v>0</v>
      </c>
      <c r="V32" s="381">
        <v>1298.7</v>
      </c>
      <c r="W32" s="381">
        <v>0</v>
      </c>
      <c r="X32" s="381">
        <v>0</v>
      </c>
      <c r="Y32" s="381">
        <v>0</v>
      </c>
      <c r="Z32" s="381">
        <v>0</v>
      </c>
      <c r="AA32" s="377" t="s">
        <v>235</v>
      </c>
      <c r="AB32" s="377" t="s">
        <v>236</v>
      </c>
      <c r="AC32" s="377" t="s">
        <v>237</v>
      </c>
      <c r="AD32" s="377" t="s">
        <v>214</v>
      </c>
      <c r="AE32" s="377" t="s">
        <v>218</v>
      </c>
      <c r="AF32" s="377" t="s">
        <v>177</v>
      </c>
      <c r="AG32" s="377" t="s">
        <v>178</v>
      </c>
      <c r="AH32" s="382">
        <v>28.03</v>
      </c>
      <c r="AI32" s="382">
        <v>995.1</v>
      </c>
      <c r="AJ32" s="377" t="s">
        <v>179</v>
      </c>
      <c r="AK32" s="377" t="s">
        <v>180</v>
      </c>
      <c r="AL32" s="377" t="s">
        <v>181</v>
      </c>
      <c r="AM32" s="377" t="s">
        <v>192</v>
      </c>
      <c r="AN32" s="377" t="s">
        <v>66</v>
      </c>
      <c r="AO32" s="380">
        <v>80</v>
      </c>
      <c r="AP32" s="386">
        <v>1</v>
      </c>
      <c r="AQ32" s="386">
        <v>0</v>
      </c>
      <c r="AR32" s="384" t="s">
        <v>182</v>
      </c>
      <c r="AS32" s="388">
        <f t="shared" si="27"/>
        <v>0</v>
      </c>
      <c r="AT32">
        <f t="shared" si="28"/>
        <v>0</v>
      </c>
      <c r="AU32" s="388" t="str">
        <f>IF(AT32=0,"",IF(AND(AT32=1,M32="F",SUMIF(C2:C33,C32,AS2:AS33)&lt;=1),SUMIF(C2:C33,C32,AS2:AS33),IF(AND(AT32=1,M32="F",SUMIF(C2:C33,C32,AS2:AS33)&gt;1),1,"")))</f>
        <v/>
      </c>
      <c r="AV32" s="388" t="str">
        <f>IF(AT32=0,"",IF(AND(AT32=3,M32="F",SUMIF(C2:C33,C32,AS2:AS33)&lt;=1),SUMIF(C2:C33,C32,AS2:AS33),IF(AND(AT32=3,M32="F",SUMIF(C2:C33,C32,AS2:AS33)&gt;1),1,"")))</f>
        <v/>
      </c>
      <c r="AW32" s="388">
        <f>SUMIF(C2:C33,C32,O2:O33)</f>
        <v>3</v>
      </c>
      <c r="AX32" s="388">
        <f>IF(AND(M32="F",AS32&lt;&gt;0),SUMIF(C2:C33,C32,W2:W33),0)</f>
        <v>0</v>
      </c>
      <c r="AY32" s="388" t="str">
        <f t="shared" si="29"/>
        <v/>
      </c>
      <c r="AZ32" s="388" t="str">
        <f t="shared" si="30"/>
        <v/>
      </c>
      <c r="BA32" s="388">
        <f t="shared" si="31"/>
        <v>0</v>
      </c>
      <c r="BB32" s="388">
        <f t="shared" si="0"/>
        <v>0</v>
      </c>
      <c r="BC32" s="388">
        <f t="shared" si="1"/>
        <v>0</v>
      </c>
      <c r="BD32" s="388">
        <f t="shared" si="2"/>
        <v>0</v>
      </c>
      <c r="BE32" s="388">
        <f t="shared" si="3"/>
        <v>0</v>
      </c>
      <c r="BF32" s="388">
        <f t="shared" si="4"/>
        <v>0</v>
      </c>
      <c r="BG32" s="388">
        <f t="shared" si="5"/>
        <v>0</v>
      </c>
      <c r="BH32" s="388">
        <f t="shared" si="6"/>
        <v>0</v>
      </c>
      <c r="BI32" s="388">
        <f t="shared" si="7"/>
        <v>0</v>
      </c>
      <c r="BJ32" s="388">
        <f t="shared" si="8"/>
        <v>0</v>
      </c>
      <c r="BK32" s="388">
        <f t="shared" si="9"/>
        <v>0</v>
      </c>
      <c r="BL32" s="388">
        <f t="shared" si="32"/>
        <v>0</v>
      </c>
      <c r="BM32" s="388">
        <f t="shared" si="33"/>
        <v>0</v>
      </c>
      <c r="BN32" s="388">
        <f t="shared" si="10"/>
        <v>0</v>
      </c>
      <c r="BO32" s="388">
        <f t="shared" si="11"/>
        <v>0</v>
      </c>
      <c r="BP32" s="388">
        <f t="shared" si="12"/>
        <v>0</v>
      </c>
      <c r="BQ32" s="388">
        <f t="shared" si="13"/>
        <v>0</v>
      </c>
      <c r="BR32" s="388">
        <f t="shared" si="14"/>
        <v>0</v>
      </c>
      <c r="BS32" s="388">
        <f t="shared" si="15"/>
        <v>0</v>
      </c>
      <c r="BT32" s="388">
        <f t="shared" si="16"/>
        <v>0</v>
      </c>
      <c r="BU32" s="388">
        <f t="shared" si="17"/>
        <v>0</v>
      </c>
      <c r="BV32" s="388">
        <f t="shared" si="18"/>
        <v>0</v>
      </c>
      <c r="BW32" s="388">
        <f t="shared" si="19"/>
        <v>0</v>
      </c>
      <c r="BX32" s="388">
        <f t="shared" si="34"/>
        <v>0</v>
      </c>
      <c r="BY32" s="388">
        <f t="shared" si="35"/>
        <v>0</v>
      </c>
      <c r="BZ32" s="388">
        <f t="shared" si="36"/>
        <v>0</v>
      </c>
      <c r="CA32" s="388">
        <f t="shared" si="37"/>
        <v>0</v>
      </c>
      <c r="CB32" s="388">
        <f t="shared" si="38"/>
        <v>0</v>
      </c>
      <c r="CC32" s="388">
        <f t="shared" si="20"/>
        <v>0</v>
      </c>
      <c r="CD32" s="388">
        <f t="shared" si="21"/>
        <v>0</v>
      </c>
      <c r="CE32" s="388">
        <f t="shared" si="22"/>
        <v>0</v>
      </c>
      <c r="CF32" s="388">
        <f t="shared" si="23"/>
        <v>0</v>
      </c>
      <c r="CG32" s="388">
        <f t="shared" si="24"/>
        <v>0</v>
      </c>
      <c r="CH32" s="388">
        <f t="shared" si="25"/>
        <v>0</v>
      </c>
      <c r="CI32" s="388">
        <f t="shared" si="26"/>
        <v>0</v>
      </c>
      <c r="CJ32" s="388">
        <f t="shared" si="39"/>
        <v>0</v>
      </c>
      <c r="CK32" s="388" t="str">
        <f t="shared" si="40"/>
        <v/>
      </c>
      <c r="CL32" s="388" t="str">
        <f t="shared" si="41"/>
        <v/>
      </c>
      <c r="CM32" s="388" t="str">
        <f t="shared" si="42"/>
        <v/>
      </c>
      <c r="CN32" s="388" t="str">
        <f t="shared" si="43"/>
        <v>0199-00</v>
      </c>
    </row>
    <row r="33" spans="1:92" ht="15.75" thickBot="1">
      <c r="A33" s="377" t="s">
        <v>162</v>
      </c>
      <c r="B33" s="377" t="s">
        <v>163</v>
      </c>
      <c r="C33" s="377" t="s">
        <v>164</v>
      </c>
      <c r="D33" s="377" t="s">
        <v>165</v>
      </c>
      <c r="E33" s="377" t="s">
        <v>242</v>
      </c>
      <c r="F33" s="378" t="s">
        <v>167</v>
      </c>
      <c r="G33" s="377" t="s">
        <v>243</v>
      </c>
      <c r="H33" s="379"/>
      <c r="I33" s="379"/>
      <c r="J33" s="377" t="s">
        <v>169</v>
      </c>
      <c r="K33" s="377" t="s">
        <v>170</v>
      </c>
      <c r="L33" s="377" t="s">
        <v>167</v>
      </c>
      <c r="M33" s="377" t="s">
        <v>171</v>
      </c>
      <c r="N33" s="377" t="s">
        <v>172</v>
      </c>
      <c r="O33" s="380">
        <v>1</v>
      </c>
      <c r="P33" s="386">
        <v>0.7</v>
      </c>
      <c r="Q33" s="386">
        <v>0.7</v>
      </c>
      <c r="R33" s="381">
        <v>80</v>
      </c>
      <c r="S33" s="386">
        <v>0.7</v>
      </c>
      <c r="T33" s="381">
        <v>53767.73</v>
      </c>
      <c r="U33" s="381">
        <v>0</v>
      </c>
      <c r="V33" s="381">
        <v>13694.35</v>
      </c>
      <c r="W33" s="381">
        <v>91000</v>
      </c>
      <c r="X33" s="381">
        <v>27560.61</v>
      </c>
      <c r="Y33" s="381">
        <v>91000</v>
      </c>
      <c r="Z33" s="381">
        <v>27634.81</v>
      </c>
      <c r="AA33" s="377" t="s">
        <v>173</v>
      </c>
      <c r="AB33" s="377" t="s">
        <v>174</v>
      </c>
      <c r="AC33" s="377" t="s">
        <v>175</v>
      </c>
      <c r="AD33" s="377" t="s">
        <v>176</v>
      </c>
      <c r="AE33" s="377" t="s">
        <v>170</v>
      </c>
      <c r="AF33" s="377" t="s">
        <v>177</v>
      </c>
      <c r="AG33" s="377" t="s">
        <v>178</v>
      </c>
      <c r="AH33" s="382">
        <v>62.5</v>
      </c>
      <c r="AI33" s="380">
        <v>5671</v>
      </c>
      <c r="AJ33" s="377" t="s">
        <v>179</v>
      </c>
      <c r="AK33" s="377" t="s">
        <v>180</v>
      </c>
      <c r="AL33" s="377" t="s">
        <v>181</v>
      </c>
      <c r="AM33" s="377" t="s">
        <v>181</v>
      </c>
      <c r="AN33" s="377" t="s">
        <v>66</v>
      </c>
      <c r="AO33" s="380">
        <v>80</v>
      </c>
      <c r="AP33" s="386">
        <v>1</v>
      </c>
      <c r="AQ33" s="386">
        <v>0.7</v>
      </c>
      <c r="AR33" s="384" t="s">
        <v>182</v>
      </c>
      <c r="AS33" s="388">
        <f t="shared" si="27"/>
        <v>0.7</v>
      </c>
      <c r="AT33">
        <f t="shared" si="28"/>
        <v>1</v>
      </c>
      <c r="AU33" s="388">
        <f>IF(AT33=0,"",IF(AND(AT33=1,M33="F",SUMIF(C2:C33,C33,AS2:AS33)&lt;=1),SUMIF(C2:C33,C33,AS2:AS33),IF(AND(AT33=1,M33="F",SUMIF(C2:C33,C33,AS2:AS33)&gt;1),1,"")))</f>
        <v>1</v>
      </c>
      <c r="AV33" s="388" t="str">
        <f>IF(AT33=0,"",IF(AND(AT33=3,M33="F",SUMIF(C2:C33,C33,AS2:AS33)&lt;=1),SUMIF(C2:C33,C33,AS2:AS33),IF(AND(AT33=3,M33="F",SUMIF(C2:C33,C33,AS2:AS33)&gt;1),1,"")))</f>
        <v/>
      </c>
      <c r="AW33" s="388">
        <f>SUMIF(C2:C33,C33,O2:O33)</f>
        <v>4</v>
      </c>
      <c r="AX33" s="388">
        <f>IF(AND(M33="F",AS33&lt;&gt;0),SUMIF(C2:C33,C33,W2:W33),0)</f>
        <v>130000</v>
      </c>
      <c r="AY33" s="388">
        <f t="shared" si="29"/>
        <v>91000</v>
      </c>
      <c r="AZ33" s="388" t="str">
        <f t="shared" si="30"/>
        <v/>
      </c>
      <c r="BA33" s="388">
        <f t="shared" si="31"/>
        <v>0</v>
      </c>
      <c r="BB33" s="388">
        <f t="shared" si="0"/>
        <v>8750</v>
      </c>
      <c r="BC33" s="388">
        <f t="shared" si="1"/>
        <v>0</v>
      </c>
      <c r="BD33" s="388">
        <f t="shared" si="2"/>
        <v>5642</v>
      </c>
      <c r="BE33" s="388">
        <f t="shared" si="3"/>
        <v>1319.5</v>
      </c>
      <c r="BF33" s="388">
        <f t="shared" si="4"/>
        <v>10865.400000000001</v>
      </c>
      <c r="BG33" s="388">
        <f t="shared" si="5"/>
        <v>656.11</v>
      </c>
      <c r="BH33" s="388">
        <f t="shared" si="6"/>
        <v>0</v>
      </c>
      <c r="BI33" s="388">
        <f t="shared" si="7"/>
        <v>0</v>
      </c>
      <c r="BJ33" s="388">
        <f t="shared" si="8"/>
        <v>327.59999999999997</v>
      </c>
      <c r="BK33" s="388">
        <f t="shared" si="9"/>
        <v>0</v>
      </c>
      <c r="BL33" s="388">
        <f t="shared" si="32"/>
        <v>18810.61</v>
      </c>
      <c r="BM33" s="388">
        <f t="shared" si="33"/>
        <v>0</v>
      </c>
      <c r="BN33" s="388">
        <f t="shared" si="10"/>
        <v>9625</v>
      </c>
      <c r="BO33" s="388">
        <f t="shared" si="11"/>
        <v>0</v>
      </c>
      <c r="BP33" s="388">
        <f t="shared" si="12"/>
        <v>5642</v>
      </c>
      <c r="BQ33" s="388">
        <f t="shared" si="13"/>
        <v>1319.5</v>
      </c>
      <c r="BR33" s="388">
        <f t="shared" si="14"/>
        <v>10173.799999999999</v>
      </c>
      <c r="BS33" s="388">
        <f t="shared" si="15"/>
        <v>656.11</v>
      </c>
      <c r="BT33" s="388">
        <f t="shared" si="16"/>
        <v>0</v>
      </c>
      <c r="BU33" s="388">
        <f t="shared" si="17"/>
        <v>0</v>
      </c>
      <c r="BV33" s="388">
        <f t="shared" si="18"/>
        <v>218.39999999999998</v>
      </c>
      <c r="BW33" s="388">
        <f t="shared" si="19"/>
        <v>0</v>
      </c>
      <c r="BX33" s="388">
        <f t="shared" si="34"/>
        <v>18009.810000000001</v>
      </c>
      <c r="BY33" s="388">
        <f t="shared" si="35"/>
        <v>0</v>
      </c>
      <c r="BZ33" s="388">
        <f t="shared" si="36"/>
        <v>875</v>
      </c>
      <c r="CA33" s="388">
        <f t="shared" si="37"/>
        <v>0</v>
      </c>
      <c r="CB33" s="388">
        <f t="shared" si="38"/>
        <v>0</v>
      </c>
      <c r="CC33" s="388">
        <f t="shared" si="20"/>
        <v>0</v>
      </c>
      <c r="CD33" s="388">
        <f t="shared" si="21"/>
        <v>-691.60000000000082</v>
      </c>
      <c r="CE33" s="388">
        <f t="shared" si="22"/>
        <v>0</v>
      </c>
      <c r="CF33" s="388">
        <f t="shared" si="23"/>
        <v>0</v>
      </c>
      <c r="CG33" s="388">
        <f t="shared" si="24"/>
        <v>0</v>
      </c>
      <c r="CH33" s="388">
        <f t="shared" si="25"/>
        <v>-109.20000000000002</v>
      </c>
      <c r="CI33" s="388">
        <f t="shared" si="26"/>
        <v>0</v>
      </c>
      <c r="CJ33" s="388">
        <f t="shared" si="39"/>
        <v>-800.80000000000086</v>
      </c>
      <c r="CK33" s="388" t="str">
        <f t="shared" si="40"/>
        <v/>
      </c>
      <c r="CL33" s="388" t="str">
        <f t="shared" si="41"/>
        <v/>
      </c>
      <c r="CM33" s="388" t="str">
        <f t="shared" si="42"/>
        <v/>
      </c>
      <c r="CN33" s="388" t="str">
        <f t="shared" si="43"/>
        <v>0199-00</v>
      </c>
    </row>
    <row r="35" spans="1:92" ht="21">
      <c r="AQ35" s="251" t="s">
        <v>326</v>
      </c>
    </row>
    <row r="36" spans="1:92" ht="15.75" thickBot="1">
      <c r="AR36" t="s">
        <v>293</v>
      </c>
      <c r="AS36" s="388">
        <f>SUMIFS(AS2:AS33,G2:G33,"GVEA",E2:E33,"0125",F2:F33,"00",AT2:AT33,1)</f>
        <v>1.8</v>
      </c>
      <c r="AT36" s="388">
        <f>SUMIFS(AS2:AS33,G2:G33,"GVEA",E2:E33,"0125",F2:F33,"00",AT2:AT33,3)</f>
        <v>0</v>
      </c>
      <c r="AU36" s="388">
        <f>SUMIFS(AU2:AU33,G2:G33,"GVEA",E2:E33,"0125",F2:F33,"00")</f>
        <v>3</v>
      </c>
      <c r="AV36" s="388">
        <f>SUMIFS(AV2:AV33,G2:G33,"GVEA",E2:E33,"0125",F2:F33,"00")</f>
        <v>0</v>
      </c>
      <c r="AW36" s="388">
        <f>SUMIFS(AW2:AW33,G2:G33,"GVEA",E2:E33,"0125",F2:F33,"00")</f>
        <v>20</v>
      </c>
      <c r="AX36" s="388">
        <f>SUMIFS(AX2:AX33,G2:G33,"GVEA",E2:E33,"0125",F2:F33,"00")</f>
        <v>257878.40000000002</v>
      </c>
      <c r="AY36" s="388">
        <f>SUMIFS(AY2:AY33,G2:G33,"GVEA",E2:E33,"0125",F2:F33,"00")</f>
        <v>130228.79999999999</v>
      </c>
      <c r="AZ36" s="388">
        <f>SUMIFS(AZ2:AZ33,G2:G33,"GVEA",E2:E33,"0125",F2:F33,"00")</f>
        <v>0</v>
      </c>
      <c r="BA36" s="388">
        <f>SUMIFS(BA2:BA33,G2:G33,"GVEA",E2:E33,"0125",F2:F33,"00")</f>
        <v>0</v>
      </c>
      <c r="BB36" s="388">
        <f>SUMIFS(BB2:BB33,G2:G33,"GVEA",E2:E33,"0125",F2:F33,"00")</f>
        <v>22500</v>
      </c>
      <c r="BC36" s="388">
        <f>SUMIFS(BC2:BC33,G2:G33,"GVEA",E2:E33,"0125",F2:F33,"00")</f>
        <v>0</v>
      </c>
      <c r="BD36" s="388">
        <f>SUMIFS(BD2:BD33,G2:G33,"GVEA",E2:E33,"0125",F2:F33,"00")</f>
        <v>8074.1855999999998</v>
      </c>
      <c r="BE36" s="388">
        <f>SUMIFS(BE2:BE33,G2:G33,"GVEA",E2:E33,"0125",F2:F33,"00")</f>
        <v>1888.3176000000001</v>
      </c>
      <c r="BF36" s="388">
        <f>SUMIFS(BF2:BF33,G2:G33,"GVEA",E2:E33,"0125",F2:F33,"00")</f>
        <v>15549.318719999999</v>
      </c>
      <c r="BG36" s="388">
        <f>SUMIFS(BG2:BG33,G2:G33,"GVEA",E2:E33,"0125",F2:F33,"00")</f>
        <v>938.94964800000002</v>
      </c>
      <c r="BH36" s="388">
        <f>SUMIFS(BH2:BH33,G2:G33,"GVEA",E2:E33,"0125",F2:F33,"00")</f>
        <v>0</v>
      </c>
      <c r="BI36" s="388">
        <f>SUMIFS(BI2:BI33,G2:G33,"GVEA",E2:E33,"0125",F2:F33,"00")</f>
        <v>0</v>
      </c>
      <c r="BJ36" s="388">
        <f>SUMIFS(BJ2:BJ33,G2:G33,"GVEA",E2:E33,"0125",F2:F33,"00")</f>
        <v>468.82368000000002</v>
      </c>
      <c r="BK36" s="388">
        <f>SUMIFS(BK2:BK33,G2:G33,"GVEA",E2:E33,"0125",F2:F33,"00")</f>
        <v>0</v>
      </c>
      <c r="BL36" s="388">
        <f>SUMIFS(BL2:BL33,G2:G33,"GVEA",E2:E33,"0125",F2:F33,"00")</f>
        <v>26919.595247999998</v>
      </c>
      <c r="BM36" s="388">
        <f>SUMIFS(BM2:BM33,G2:G33,"GVEA",E2:E33,"0125",F2:F33,"00")</f>
        <v>0</v>
      </c>
      <c r="BN36" s="388">
        <f>SUMIFS(BN2:BN33,G2:G33,"GVEA",E2:E33,"0125",F2:F33,"00")</f>
        <v>24750</v>
      </c>
      <c r="BO36" s="388">
        <f>SUMIFS(BO2:BO33,G2:G33,"GVEA",E2:E33,"0125",F2:F33,"00")</f>
        <v>0</v>
      </c>
      <c r="BP36" s="388">
        <f>SUMIFS(BP2:BP33,G2:G33,"GVEA",E2:E33,"0125",F2:F33,"00")</f>
        <v>8074.1855999999998</v>
      </c>
      <c r="BQ36" s="388">
        <f>SUMIFS(BQ2:BQ33,G2:G33,"GVEA",E2:E33,"0125",F2:F33,"00")</f>
        <v>1888.3176000000001</v>
      </c>
      <c r="BR36" s="388">
        <f>SUMIFS(BR2:BR33,G2:G33,"GVEA",E2:E33,"0125",F2:F33,"00")</f>
        <v>14559.579839999999</v>
      </c>
      <c r="BS36" s="388">
        <f>SUMIFS(BS2:BS33,G2:G33,"GVEA",E2:E33,"0125",F2:F33,"00")</f>
        <v>938.94964800000002</v>
      </c>
      <c r="BT36" s="388">
        <f>SUMIFS(BT2:BT33,G2:G33,"GVEA",E2:E33,"0125",F2:F33,"00")</f>
        <v>0</v>
      </c>
      <c r="BU36" s="388">
        <f>SUMIFS(BU2:BU33,G2:G33,"GVEA",E2:E33,"0125",F2:F33,"00")</f>
        <v>0</v>
      </c>
      <c r="BV36" s="388">
        <f>SUMIFS(BV2:BV33,G2:G33,"GVEA",E2:E33,"0125",F2:F33,"00")</f>
        <v>312.54911999999996</v>
      </c>
      <c r="BW36" s="388">
        <f>SUMIFS(BW2:BW33,G2:G33,"GVEA",E2:E33,"0125",F2:F33,"00")</f>
        <v>0</v>
      </c>
      <c r="BX36" s="388">
        <f>SUMIFS(BX2:BX33,G2:G33,"GVEA",E2:E33,"0125",F2:F33,"00")</f>
        <v>25773.581807999995</v>
      </c>
      <c r="BY36" s="388">
        <f>SUMIFS(BY2:BY33,G2:G33,"GVEA",E2:E33,"0125",F2:F33,"00")</f>
        <v>0</v>
      </c>
      <c r="BZ36" s="388">
        <f>SUMIFS(BZ2:BZ33,G2:G33,"GVEA",E2:E33,"0125",F2:F33,"00")</f>
        <v>2250</v>
      </c>
      <c r="CA36" s="388">
        <f>SUMIFS(CA2:CA33,G2:G33,"GVEA",E2:E33,"0125",F2:F33,"00")</f>
        <v>0</v>
      </c>
      <c r="CB36" s="388">
        <f>SUMIFS(CB2:CB33,G2:G33,"GVEA",E2:E33,"0125",F2:F33,"00")</f>
        <v>0</v>
      </c>
      <c r="CC36" s="388">
        <f>SUMIFS(CC2:CC33,G2:G33,"GVEA",E2:E33,"0125",F2:F33,"00")</f>
        <v>0</v>
      </c>
      <c r="CD36" s="388">
        <f>SUMIFS(CD2:CD33,G2:G33,"GVEA",E2:E33,"0125",F2:F33,"00")</f>
        <v>-989.73888000000125</v>
      </c>
      <c r="CE36" s="388">
        <f>SUMIFS(CE2:CE33,G2:G33,"GVEA",E2:E33,"0125",F2:F33,"00")</f>
        <v>0</v>
      </c>
      <c r="CF36" s="388">
        <f>SUMIFS(CF2:CF33,G2:G33,"GVEA",E2:E33,"0125",F2:F33,"00")</f>
        <v>0</v>
      </c>
      <c r="CG36" s="388">
        <f>SUMIFS(CG2:CG33,G2:G33,"GVEA",E2:E33,"0125",F2:F33,"00")</f>
        <v>0</v>
      </c>
      <c r="CH36" s="388">
        <f>SUMIFS(CH2:CH33,G2:G33,"GVEA",E2:E33,"0125",F2:F33,"00")</f>
        <v>-156.27456000000001</v>
      </c>
      <c r="CI36" s="388">
        <f>SUMIFS(CI2:CI33,G2:G33,"GVEA",E2:E33,"0125",F2:F33,"00")</f>
        <v>0</v>
      </c>
      <c r="CJ36" s="388">
        <f>SUMIFS(CJ2:CJ33,G2:G33,"GVEA",E2:E33,"0125",F2:F33,"00")</f>
        <v>-1146.0134400000011</v>
      </c>
      <c r="CK36" s="388">
        <f>SUMIFS(CK2:CK33,G2:G33,"GVEA",E2:E33,"0125",F2:F33,"00")</f>
        <v>0</v>
      </c>
      <c r="CL36" s="388">
        <f>SUMIFS(CL2:CL33,G2:G33,"GVEA",E2:E33,"0125",F2:F33,"00")</f>
        <v>0</v>
      </c>
      <c r="CM36" s="388">
        <f>SUMIFS(CM2:CM33,G2:G33,"GVEA",E2:E33,"0125",F2:F33,"00")</f>
        <v>0</v>
      </c>
    </row>
    <row r="37" spans="1:92" ht="18.75">
      <c r="AQ37" s="394" t="s">
        <v>294</v>
      </c>
      <c r="AS37" s="395">
        <f t="shared" ref="AS37:CM37" si="44">SUM(AS36:AS36)</f>
        <v>1.8</v>
      </c>
      <c r="AT37" s="395">
        <f t="shared" si="44"/>
        <v>0</v>
      </c>
      <c r="AU37" s="395">
        <f t="shared" si="44"/>
        <v>3</v>
      </c>
      <c r="AV37" s="395">
        <f t="shared" si="44"/>
        <v>0</v>
      </c>
      <c r="AW37" s="395">
        <f t="shared" si="44"/>
        <v>20</v>
      </c>
      <c r="AX37" s="395">
        <f t="shared" si="44"/>
        <v>257878.40000000002</v>
      </c>
      <c r="AY37" s="395">
        <f t="shared" si="44"/>
        <v>130228.79999999999</v>
      </c>
      <c r="AZ37" s="395">
        <f t="shared" si="44"/>
        <v>0</v>
      </c>
      <c r="BA37" s="395">
        <f t="shared" si="44"/>
        <v>0</v>
      </c>
      <c r="BB37" s="395">
        <f t="shared" si="44"/>
        <v>22500</v>
      </c>
      <c r="BC37" s="395">
        <f t="shared" si="44"/>
        <v>0</v>
      </c>
      <c r="BD37" s="395">
        <f t="shared" si="44"/>
        <v>8074.1855999999998</v>
      </c>
      <c r="BE37" s="395">
        <f t="shared" si="44"/>
        <v>1888.3176000000001</v>
      </c>
      <c r="BF37" s="395">
        <f t="shared" si="44"/>
        <v>15549.318719999999</v>
      </c>
      <c r="BG37" s="395">
        <f t="shared" si="44"/>
        <v>938.94964800000002</v>
      </c>
      <c r="BH37" s="395">
        <f t="shared" si="44"/>
        <v>0</v>
      </c>
      <c r="BI37" s="395">
        <f t="shared" si="44"/>
        <v>0</v>
      </c>
      <c r="BJ37" s="395">
        <f t="shared" si="44"/>
        <v>468.82368000000002</v>
      </c>
      <c r="BK37" s="395">
        <f t="shared" si="44"/>
        <v>0</v>
      </c>
      <c r="BL37" s="395">
        <f t="shared" si="44"/>
        <v>26919.595247999998</v>
      </c>
      <c r="BM37" s="395">
        <f t="shared" si="44"/>
        <v>0</v>
      </c>
      <c r="BN37" s="395">
        <f t="shared" si="44"/>
        <v>24750</v>
      </c>
      <c r="BO37" s="395">
        <f t="shared" si="44"/>
        <v>0</v>
      </c>
      <c r="BP37" s="395">
        <f t="shared" si="44"/>
        <v>8074.1855999999998</v>
      </c>
      <c r="BQ37" s="395">
        <f t="shared" si="44"/>
        <v>1888.3176000000001</v>
      </c>
      <c r="BR37" s="395">
        <f t="shared" si="44"/>
        <v>14559.579839999999</v>
      </c>
      <c r="BS37" s="395">
        <f t="shared" si="44"/>
        <v>938.94964800000002</v>
      </c>
      <c r="BT37" s="395">
        <f t="shared" si="44"/>
        <v>0</v>
      </c>
      <c r="BU37" s="395">
        <f t="shared" si="44"/>
        <v>0</v>
      </c>
      <c r="BV37" s="395">
        <f t="shared" si="44"/>
        <v>312.54911999999996</v>
      </c>
      <c r="BW37" s="395">
        <f t="shared" si="44"/>
        <v>0</v>
      </c>
      <c r="BX37" s="395">
        <f t="shared" si="44"/>
        <v>25773.581807999995</v>
      </c>
      <c r="BY37" s="395">
        <f t="shared" si="44"/>
        <v>0</v>
      </c>
      <c r="BZ37" s="395">
        <f t="shared" si="44"/>
        <v>2250</v>
      </c>
      <c r="CA37" s="395">
        <f t="shared" si="44"/>
        <v>0</v>
      </c>
      <c r="CB37" s="395">
        <f t="shared" si="44"/>
        <v>0</v>
      </c>
      <c r="CC37" s="395">
        <f t="shared" si="44"/>
        <v>0</v>
      </c>
      <c r="CD37" s="395">
        <f t="shared" si="44"/>
        <v>-989.73888000000125</v>
      </c>
      <c r="CE37" s="395">
        <f t="shared" si="44"/>
        <v>0</v>
      </c>
      <c r="CF37" s="395">
        <f t="shared" si="44"/>
        <v>0</v>
      </c>
      <c r="CG37" s="395">
        <f t="shared" si="44"/>
        <v>0</v>
      </c>
      <c r="CH37" s="395">
        <f t="shared" si="44"/>
        <v>-156.27456000000001</v>
      </c>
      <c r="CI37" s="395">
        <f t="shared" si="44"/>
        <v>0</v>
      </c>
      <c r="CJ37" s="395">
        <f t="shared" si="44"/>
        <v>-1146.0134400000011</v>
      </c>
      <c r="CK37" s="395">
        <f t="shared" si="44"/>
        <v>0</v>
      </c>
      <c r="CL37" s="395">
        <f t="shared" si="44"/>
        <v>0</v>
      </c>
      <c r="CM37" s="395">
        <f t="shared" si="44"/>
        <v>0</v>
      </c>
    </row>
    <row r="38" spans="1:92" ht="15.75" thickBot="1">
      <c r="AR38" t="s">
        <v>301</v>
      </c>
      <c r="AS38" s="388">
        <f>SUMIFS(AS2:AS33,G2:G33,"GVEA",E2:E33,"0348",F2:F33,"00",AT2:AT33,1)</f>
        <v>5.9</v>
      </c>
      <c r="AT38" s="388">
        <f>SUMIFS(AS2:AS33,G2:G33,"GVEA",E2:E33,"0348",F2:F33,"00",AT2:AT33,3)</f>
        <v>0</v>
      </c>
      <c r="AU38" s="388">
        <f>SUMIFS(AU2:AU33,G2:G33,"GVEA",E2:E33,"0348",F2:F33,"00")</f>
        <v>6</v>
      </c>
      <c r="AV38" s="388">
        <f>SUMIFS(AV2:AV33,G2:G33,"GVEA",E2:E33,"0348",F2:F33,"00")</f>
        <v>0</v>
      </c>
      <c r="AW38" s="388">
        <f>SUMIFS(AW2:AW33,G2:G33,"GVEA",E2:E33,"0348",F2:F33,"00")</f>
        <v>29</v>
      </c>
      <c r="AX38" s="388">
        <f>SUMIFS(AX2:AX33,G2:G33,"GVEA",E2:E33,"0348",F2:F33,"00")</f>
        <v>385694.4</v>
      </c>
      <c r="AY38" s="388">
        <f>SUMIFS(AY2:AY33,G2:G33,"GVEA",E2:E33,"0348",F2:F33,"00")</f>
        <v>377241.28</v>
      </c>
      <c r="AZ38" s="388">
        <f>SUMIFS(AZ2:AZ33,G2:G33,"GVEA",E2:E33,"0348",F2:F33,"00")</f>
        <v>0</v>
      </c>
      <c r="BA38" s="388">
        <f>SUMIFS(BA2:BA33,G2:G33,"GVEA",E2:E33,"0348",F2:F33,"00")</f>
        <v>0</v>
      </c>
      <c r="BB38" s="388">
        <f>SUMIFS(BB2:BB33,G2:G33,"GVEA",E2:E33,"0348",F2:F33,"00")</f>
        <v>73750</v>
      </c>
      <c r="BC38" s="388">
        <f>SUMIFS(BC2:BC33,G2:G33,"GVEA",E2:E33,"0348",F2:F33,"00")</f>
        <v>0</v>
      </c>
      <c r="BD38" s="388">
        <f>SUMIFS(BD2:BD33,G2:G33,"GVEA",E2:E33,"0348",F2:F33,"00")</f>
        <v>23388.959360000001</v>
      </c>
      <c r="BE38" s="388">
        <f>SUMIFS(BE2:BE33,G2:G33,"GVEA",E2:E33,"0348",F2:F33,"00")</f>
        <v>5469.99856</v>
      </c>
      <c r="BF38" s="388">
        <f>SUMIFS(BF2:BF33,G2:G33,"GVEA",E2:E33,"0348",F2:F33,"00")</f>
        <v>45042.608831999998</v>
      </c>
      <c r="BG38" s="388">
        <f>SUMIFS(BG2:BG33,G2:G33,"GVEA",E2:E33,"0348",F2:F33,"00")</f>
        <v>2719.9096288000001</v>
      </c>
      <c r="BH38" s="388">
        <f>SUMIFS(BH2:BH33,G2:G33,"GVEA",E2:E33,"0348",F2:F33,"00")</f>
        <v>0</v>
      </c>
      <c r="BI38" s="388">
        <f>SUMIFS(BI2:BI33,G2:G33,"GVEA",E2:E33,"0348",F2:F33,"00")</f>
        <v>0</v>
      </c>
      <c r="BJ38" s="388">
        <f>SUMIFS(BJ2:BJ33,G2:G33,"GVEA",E2:E33,"0348",F2:F33,"00")</f>
        <v>1358.068608</v>
      </c>
      <c r="BK38" s="388">
        <f>SUMIFS(BK2:BK33,G2:G33,"GVEA",E2:E33,"0348",F2:F33,"00")</f>
        <v>0</v>
      </c>
      <c r="BL38" s="388">
        <f>SUMIFS(BL2:BL33,G2:G33,"GVEA",E2:E33,"0348",F2:F33,"00")</f>
        <v>77979.544988800015</v>
      </c>
      <c r="BM38" s="388">
        <f>SUMIFS(BM2:BM33,G2:G33,"GVEA",E2:E33,"0348",F2:F33,"00")</f>
        <v>0</v>
      </c>
      <c r="BN38" s="388">
        <f>SUMIFS(BN2:BN33,G2:G33,"GVEA",E2:E33,"0348",F2:F33,"00")</f>
        <v>81125</v>
      </c>
      <c r="BO38" s="388">
        <f>SUMIFS(BO2:BO33,G2:G33,"GVEA",E2:E33,"0348",F2:F33,"00")</f>
        <v>0</v>
      </c>
      <c r="BP38" s="388">
        <f>SUMIFS(BP2:BP33,G2:G33,"GVEA",E2:E33,"0348",F2:F33,"00")</f>
        <v>23388.959360000001</v>
      </c>
      <c r="BQ38" s="388">
        <f>SUMIFS(BQ2:BQ33,G2:G33,"GVEA",E2:E33,"0348",F2:F33,"00")</f>
        <v>5469.99856</v>
      </c>
      <c r="BR38" s="388">
        <f>SUMIFS(BR2:BR33,G2:G33,"GVEA",E2:E33,"0348",F2:F33,"00")</f>
        <v>42175.575103999996</v>
      </c>
      <c r="BS38" s="388">
        <f>SUMIFS(BS2:BS33,G2:G33,"GVEA",E2:E33,"0348",F2:F33,"00")</f>
        <v>2719.9096288000001</v>
      </c>
      <c r="BT38" s="388">
        <f>SUMIFS(BT2:BT33,G2:G33,"GVEA",E2:E33,"0348",F2:F33,"00")</f>
        <v>0</v>
      </c>
      <c r="BU38" s="388">
        <f>SUMIFS(BU2:BU33,G2:G33,"GVEA",E2:E33,"0348",F2:F33,"00")</f>
        <v>0</v>
      </c>
      <c r="BV38" s="388">
        <f>SUMIFS(BV2:BV33,G2:G33,"GVEA",E2:E33,"0348",F2:F33,"00")</f>
        <v>905.37907199999995</v>
      </c>
      <c r="BW38" s="388">
        <f>SUMIFS(BW2:BW33,G2:G33,"GVEA",E2:E33,"0348",F2:F33,"00")</f>
        <v>0</v>
      </c>
      <c r="BX38" s="388">
        <f>SUMIFS(BX2:BX33,G2:G33,"GVEA",E2:E33,"0348",F2:F33,"00")</f>
        <v>74659.821724799986</v>
      </c>
      <c r="BY38" s="388">
        <f>SUMIFS(BY2:BY33,G2:G33,"GVEA",E2:E33,"0348",F2:F33,"00")</f>
        <v>0</v>
      </c>
      <c r="BZ38" s="388">
        <f>SUMIFS(BZ2:BZ33,G2:G33,"GVEA",E2:E33,"0348",F2:F33,"00")</f>
        <v>7375</v>
      </c>
      <c r="CA38" s="388">
        <f>SUMIFS(CA2:CA33,G2:G33,"GVEA",E2:E33,"0348",F2:F33,"00")</f>
        <v>0</v>
      </c>
      <c r="CB38" s="388">
        <f>SUMIFS(CB2:CB33,G2:G33,"GVEA",E2:E33,"0348",F2:F33,"00")</f>
        <v>0</v>
      </c>
      <c r="CC38" s="388">
        <f>SUMIFS(CC2:CC33,G2:G33,"GVEA",E2:E33,"0348",F2:F33,"00")</f>
        <v>0</v>
      </c>
      <c r="CD38" s="388">
        <f>SUMIFS(CD2:CD33,G2:G33,"GVEA",E2:E33,"0348",F2:F33,"00")</f>
        <v>-2867.0337280000035</v>
      </c>
      <c r="CE38" s="388">
        <f>SUMIFS(CE2:CE33,G2:G33,"GVEA",E2:E33,"0348",F2:F33,"00")</f>
        <v>0</v>
      </c>
      <c r="CF38" s="388">
        <f>SUMIFS(CF2:CF33,G2:G33,"GVEA",E2:E33,"0348",F2:F33,"00")</f>
        <v>0</v>
      </c>
      <c r="CG38" s="388">
        <f>SUMIFS(CG2:CG33,G2:G33,"GVEA",E2:E33,"0348",F2:F33,"00")</f>
        <v>0</v>
      </c>
      <c r="CH38" s="388">
        <f>SUMIFS(CH2:CH33,G2:G33,"GVEA",E2:E33,"0348",F2:F33,"00")</f>
        <v>-452.68953600000009</v>
      </c>
      <c r="CI38" s="388">
        <f>SUMIFS(CI2:CI33,G2:G33,"GVEA",E2:E33,"0348",F2:F33,"00")</f>
        <v>0</v>
      </c>
      <c r="CJ38" s="388">
        <f>SUMIFS(CJ2:CJ33,G2:G33,"GVEA",E2:E33,"0348",F2:F33,"00")</f>
        <v>-3319.7232640000038</v>
      </c>
      <c r="CK38" s="388">
        <f>SUMIFS(CK2:CK33,G2:G33,"GVEA",E2:E33,"0348",F2:F33,"00")</f>
        <v>0</v>
      </c>
      <c r="CL38" s="388">
        <f>SUMIFS(CL2:CL33,G2:G33,"GVEA",E2:E33,"0348",F2:F33,"00")</f>
        <v>5152</v>
      </c>
      <c r="CM38" s="388">
        <f>SUMIFS(CM2:CM33,G2:G33,"GVEA",E2:E33,"0348",F2:F33,"00")</f>
        <v>3494.18</v>
      </c>
    </row>
    <row r="39" spans="1:92" ht="18.75">
      <c r="AQ39" s="394" t="s">
        <v>302</v>
      </c>
      <c r="AS39" s="395">
        <f t="shared" ref="AS39:CM39" si="45">SUM(AS38:AS38)</f>
        <v>5.9</v>
      </c>
      <c r="AT39" s="395">
        <f t="shared" si="45"/>
        <v>0</v>
      </c>
      <c r="AU39" s="395">
        <f t="shared" si="45"/>
        <v>6</v>
      </c>
      <c r="AV39" s="395">
        <f t="shared" si="45"/>
        <v>0</v>
      </c>
      <c r="AW39" s="395">
        <f t="shared" si="45"/>
        <v>29</v>
      </c>
      <c r="AX39" s="395">
        <f t="shared" si="45"/>
        <v>385694.4</v>
      </c>
      <c r="AY39" s="395">
        <f t="shared" si="45"/>
        <v>377241.28</v>
      </c>
      <c r="AZ39" s="395">
        <f t="shared" si="45"/>
        <v>0</v>
      </c>
      <c r="BA39" s="395">
        <f t="shared" si="45"/>
        <v>0</v>
      </c>
      <c r="BB39" s="395">
        <f t="shared" si="45"/>
        <v>73750</v>
      </c>
      <c r="BC39" s="395">
        <f t="shared" si="45"/>
        <v>0</v>
      </c>
      <c r="BD39" s="395">
        <f t="shared" si="45"/>
        <v>23388.959360000001</v>
      </c>
      <c r="BE39" s="395">
        <f t="shared" si="45"/>
        <v>5469.99856</v>
      </c>
      <c r="BF39" s="395">
        <f t="shared" si="45"/>
        <v>45042.608831999998</v>
      </c>
      <c r="BG39" s="395">
        <f t="shared" si="45"/>
        <v>2719.9096288000001</v>
      </c>
      <c r="BH39" s="395">
        <f t="shared" si="45"/>
        <v>0</v>
      </c>
      <c r="BI39" s="395">
        <f t="shared" si="45"/>
        <v>0</v>
      </c>
      <c r="BJ39" s="395">
        <f t="shared" si="45"/>
        <v>1358.068608</v>
      </c>
      <c r="BK39" s="395">
        <f t="shared" si="45"/>
        <v>0</v>
      </c>
      <c r="BL39" s="395">
        <f t="shared" si="45"/>
        <v>77979.544988800015</v>
      </c>
      <c r="BM39" s="395">
        <f t="shared" si="45"/>
        <v>0</v>
      </c>
      <c r="BN39" s="395">
        <f t="shared" si="45"/>
        <v>81125</v>
      </c>
      <c r="BO39" s="395">
        <f t="shared" si="45"/>
        <v>0</v>
      </c>
      <c r="BP39" s="395">
        <f t="shared" si="45"/>
        <v>23388.959360000001</v>
      </c>
      <c r="BQ39" s="395">
        <f t="shared" si="45"/>
        <v>5469.99856</v>
      </c>
      <c r="BR39" s="395">
        <f t="shared" si="45"/>
        <v>42175.575103999996</v>
      </c>
      <c r="BS39" s="395">
        <f t="shared" si="45"/>
        <v>2719.9096288000001</v>
      </c>
      <c r="BT39" s="395">
        <f t="shared" si="45"/>
        <v>0</v>
      </c>
      <c r="BU39" s="395">
        <f t="shared" si="45"/>
        <v>0</v>
      </c>
      <c r="BV39" s="395">
        <f t="shared" si="45"/>
        <v>905.37907199999995</v>
      </c>
      <c r="BW39" s="395">
        <f t="shared" si="45"/>
        <v>0</v>
      </c>
      <c r="BX39" s="395">
        <f t="shared" si="45"/>
        <v>74659.821724799986</v>
      </c>
      <c r="BY39" s="395">
        <f t="shared" si="45"/>
        <v>0</v>
      </c>
      <c r="BZ39" s="395">
        <f t="shared" si="45"/>
        <v>7375</v>
      </c>
      <c r="CA39" s="395">
        <f t="shared" si="45"/>
        <v>0</v>
      </c>
      <c r="CB39" s="395">
        <f t="shared" si="45"/>
        <v>0</v>
      </c>
      <c r="CC39" s="395">
        <f t="shared" si="45"/>
        <v>0</v>
      </c>
      <c r="CD39" s="395">
        <f t="shared" si="45"/>
        <v>-2867.0337280000035</v>
      </c>
      <c r="CE39" s="395">
        <f t="shared" si="45"/>
        <v>0</v>
      </c>
      <c r="CF39" s="395">
        <f t="shared" si="45"/>
        <v>0</v>
      </c>
      <c r="CG39" s="395">
        <f t="shared" si="45"/>
        <v>0</v>
      </c>
      <c r="CH39" s="395">
        <f t="shared" si="45"/>
        <v>-452.68953600000009</v>
      </c>
      <c r="CI39" s="395">
        <f t="shared" si="45"/>
        <v>0</v>
      </c>
      <c r="CJ39" s="395">
        <f t="shared" si="45"/>
        <v>-3319.7232640000038</v>
      </c>
      <c r="CK39" s="395">
        <f t="shared" si="45"/>
        <v>0</v>
      </c>
      <c r="CL39" s="395">
        <f t="shared" si="45"/>
        <v>5152</v>
      </c>
      <c r="CM39" s="395">
        <f t="shared" si="45"/>
        <v>3494.18</v>
      </c>
    </row>
    <row r="40" spans="1:92" ht="15.75" thickBot="1">
      <c r="AR40" t="s">
        <v>307</v>
      </c>
      <c r="AS40" s="388">
        <f>SUMIFS(AS2:AS33,G2:G33,"GVEA",E2:E33,"0349",F2:F33,"00",AT2:AT33,1)</f>
        <v>0</v>
      </c>
      <c r="AT40" s="388">
        <f>SUMIFS(AS2:AS33,G2:G33,"GVEA",E2:E33,"0349",F2:F33,"00",AT2:AT33,3)</f>
        <v>0</v>
      </c>
      <c r="AU40" s="388">
        <f>SUMIFS(AU2:AU33,G2:G33,"GVEA",E2:E33,"0349",F2:F33,"00")</f>
        <v>0</v>
      </c>
      <c r="AV40" s="388">
        <f>SUMIFS(AV2:AV33,G2:G33,"GVEA",E2:E33,"0349",F2:F33,"00")</f>
        <v>0</v>
      </c>
      <c r="AW40" s="388">
        <f>SUMIFS(AW2:AW33,G2:G33,"GVEA",E2:E33,"0349",F2:F33,"00")</f>
        <v>0</v>
      </c>
      <c r="AX40" s="388">
        <f>SUMIFS(AX2:AX33,G2:G33,"GVEA",E2:E33,"0349",F2:F33,"00")</f>
        <v>0</v>
      </c>
      <c r="AY40" s="388">
        <f>SUMIFS(AY2:AY33,G2:G33,"GVEA",E2:E33,"0349",F2:F33,"00")</f>
        <v>0</v>
      </c>
      <c r="AZ40" s="388">
        <f>SUMIFS(AZ2:AZ33,G2:G33,"GVEA",E2:E33,"0349",F2:F33,"00")</f>
        <v>0</v>
      </c>
      <c r="BA40" s="388">
        <f>SUMIFS(BA2:BA33,G2:G33,"GVEA",E2:E33,"0349",F2:F33,"00")</f>
        <v>0</v>
      </c>
      <c r="BB40" s="388">
        <f>SUMIFS(BB2:BB33,G2:G33,"GVEA",E2:E33,"0349",F2:F33,"00")</f>
        <v>0</v>
      </c>
      <c r="BC40" s="388">
        <f>SUMIFS(BC2:BC33,G2:G33,"GVEA",E2:E33,"0349",F2:F33,"00")</f>
        <v>0</v>
      </c>
      <c r="BD40" s="388">
        <f>SUMIFS(BD2:BD33,G2:G33,"GVEA",E2:E33,"0349",F2:F33,"00")</f>
        <v>0</v>
      </c>
      <c r="BE40" s="388">
        <f>SUMIFS(BE2:BE33,G2:G33,"GVEA",E2:E33,"0349",F2:F33,"00")</f>
        <v>0</v>
      </c>
      <c r="BF40" s="388">
        <f>SUMIFS(BF2:BF33,G2:G33,"GVEA",E2:E33,"0349",F2:F33,"00")</f>
        <v>0</v>
      </c>
      <c r="BG40" s="388">
        <f>SUMIFS(BG2:BG33,G2:G33,"GVEA",E2:E33,"0349",F2:F33,"00")</f>
        <v>0</v>
      </c>
      <c r="BH40" s="388">
        <f>SUMIFS(BH2:BH33,G2:G33,"GVEA",E2:E33,"0349",F2:F33,"00")</f>
        <v>0</v>
      </c>
      <c r="BI40" s="388">
        <f>SUMIFS(BI2:BI33,G2:G33,"GVEA",E2:E33,"0349",F2:F33,"00")</f>
        <v>0</v>
      </c>
      <c r="BJ40" s="388">
        <f>SUMIFS(BJ2:BJ33,G2:G33,"GVEA",E2:E33,"0349",F2:F33,"00")</f>
        <v>0</v>
      </c>
      <c r="BK40" s="388">
        <f>SUMIFS(BK2:BK33,G2:G33,"GVEA",E2:E33,"0349",F2:F33,"00")</f>
        <v>0</v>
      </c>
      <c r="BL40" s="388">
        <f>SUMIFS(BL2:BL33,G2:G33,"GVEA",E2:E33,"0349",F2:F33,"00")</f>
        <v>0</v>
      </c>
      <c r="BM40" s="388">
        <f>SUMIFS(BM2:BM33,G2:G33,"GVEA",E2:E33,"0349",F2:F33,"00")</f>
        <v>0</v>
      </c>
      <c r="BN40" s="388">
        <f>SUMIFS(BN2:BN33,G2:G33,"GVEA",E2:E33,"0349",F2:F33,"00")</f>
        <v>0</v>
      </c>
      <c r="BO40" s="388">
        <f>SUMIFS(BO2:BO33,G2:G33,"GVEA",E2:E33,"0349",F2:F33,"00")</f>
        <v>0</v>
      </c>
      <c r="BP40" s="388">
        <f>SUMIFS(BP2:BP33,G2:G33,"GVEA",E2:E33,"0349",F2:F33,"00")</f>
        <v>0</v>
      </c>
      <c r="BQ40" s="388">
        <f>SUMIFS(BQ2:BQ33,G2:G33,"GVEA",E2:E33,"0349",F2:F33,"00")</f>
        <v>0</v>
      </c>
      <c r="BR40" s="388">
        <f>SUMIFS(BR2:BR33,G2:G33,"GVEA",E2:E33,"0349",F2:F33,"00")</f>
        <v>0</v>
      </c>
      <c r="BS40" s="388">
        <f>SUMIFS(BS2:BS33,G2:G33,"GVEA",E2:E33,"0349",F2:F33,"00")</f>
        <v>0</v>
      </c>
      <c r="BT40" s="388">
        <f>SUMIFS(BT2:BT33,G2:G33,"GVEA",E2:E33,"0349",F2:F33,"00")</f>
        <v>0</v>
      </c>
      <c r="BU40" s="388">
        <f>SUMIFS(BU2:BU33,G2:G33,"GVEA",E2:E33,"0349",F2:F33,"00")</f>
        <v>0</v>
      </c>
      <c r="BV40" s="388">
        <f>SUMIFS(BV2:BV33,G2:G33,"GVEA",E2:E33,"0349",F2:F33,"00")</f>
        <v>0</v>
      </c>
      <c r="BW40" s="388">
        <f>SUMIFS(BW2:BW33,G2:G33,"GVEA",E2:E33,"0349",F2:F33,"00")</f>
        <v>0</v>
      </c>
      <c r="BX40" s="388">
        <f>SUMIFS(BX2:BX33,G2:G33,"GVEA",E2:E33,"0349",F2:F33,"00")</f>
        <v>0</v>
      </c>
      <c r="BY40" s="388">
        <f>SUMIFS(BY2:BY33,G2:G33,"GVEA",E2:E33,"0349",F2:F33,"00")</f>
        <v>0</v>
      </c>
      <c r="BZ40" s="388">
        <f>SUMIFS(BZ2:BZ33,G2:G33,"GVEA",E2:E33,"0349",F2:F33,"00")</f>
        <v>0</v>
      </c>
      <c r="CA40" s="388">
        <f>SUMIFS(CA2:CA33,G2:G33,"GVEA",E2:E33,"0349",F2:F33,"00")</f>
        <v>0</v>
      </c>
      <c r="CB40" s="388">
        <f>SUMIFS(CB2:CB33,G2:G33,"GVEA",E2:E33,"0349",F2:F33,"00")</f>
        <v>0</v>
      </c>
      <c r="CC40" s="388">
        <f>SUMIFS(CC2:CC33,G2:G33,"GVEA",E2:E33,"0349",F2:F33,"00")</f>
        <v>0</v>
      </c>
      <c r="CD40" s="388">
        <f>SUMIFS(CD2:CD33,G2:G33,"GVEA",E2:E33,"0349",F2:F33,"00")</f>
        <v>0</v>
      </c>
      <c r="CE40" s="388">
        <f>SUMIFS(CE2:CE33,G2:G33,"GVEA",E2:E33,"0349",F2:F33,"00")</f>
        <v>0</v>
      </c>
      <c r="CF40" s="388">
        <f>SUMIFS(CF2:CF33,G2:G33,"GVEA",E2:E33,"0349",F2:F33,"00")</f>
        <v>0</v>
      </c>
      <c r="CG40" s="388">
        <f>SUMIFS(CG2:CG33,G2:G33,"GVEA",E2:E33,"0349",F2:F33,"00")</f>
        <v>0</v>
      </c>
      <c r="CH40" s="388">
        <f>SUMIFS(CH2:CH33,G2:G33,"GVEA",E2:E33,"0349",F2:F33,"00")</f>
        <v>0</v>
      </c>
      <c r="CI40" s="388">
        <f>SUMIFS(CI2:CI33,G2:G33,"GVEA",E2:E33,"0349",F2:F33,"00")</f>
        <v>0</v>
      </c>
      <c r="CJ40" s="388">
        <f>SUMIFS(CJ2:CJ33,G2:G33,"GVEA",E2:E33,"0349",F2:F33,"00")</f>
        <v>0</v>
      </c>
      <c r="CK40" s="388">
        <f>SUMIFS(CK2:CK33,G2:G33,"GVEA",E2:E33,"0349",F2:F33,"00")</f>
        <v>0</v>
      </c>
      <c r="CL40" s="388">
        <f>SUMIFS(CL2:CL33,G2:G33,"GVEA",E2:E33,"0349",F2:F33,"00")</f>
        <v>0</v>
      </c>
      <c r="CM40" s="388">
        <f>SUMIFS(CM2:CM33,G2:G33,"GVEA",E2:E33,"0349",F2:F33,"00")</f>
        <v>0</v>
      </c>
    </row>
    <row r="41" spans="1:92" ht="18.75">
      <c r="AQ41" s="394" t="s">
        <v>308</v>
      </c>
      <c r="AS41" s="395">
        <f t="shared" ref="AS41:CM41" si="46">SUM(AS40:AS40)</f>
        <v>0</v>
      </c>
      <c r="AT41" s="395">
        <f t="shared" si="46"/>
        <v>0</v>
      </c>
      <c r="AU41" s="395">
        <f t="shared" si="46"/>
        <v>0</v>
      </c>
      <c r="AV41" s="395">
        <f t="shared" si="46"/>
        <v>0</v>
      </c>
      <c r="AW41" s="395">
        <f t="shared" si="46"/>
        <v>0</v>
      </c>
      <c r="AX41" s="395">
        <f t="shared" si="46"/>
        <v>0</v>
      </c>
      <c r="AY41" s="395">
        <f t="shared" si="46"/>
        <v>0</v>
      </c>
      <c r="AZ41" s="395">
        <f t="shared" si="46"/>
        <v>0</v>
      </c>
      <c r="BA41" s="395">
        <f t="shared" si="46"/>
        <v>0</v>
      </c>
      <c r="BB41" s="395">
        <f t="shared" si="46"/>
        <v>0</v>
      </c>
      <c r="BC41" s="395">
        <f t="shared" si="46"/>
        <v>0</v>
      </c>
      <c r="BD41" s="395">
        <f t="shared" si="46"/>
        <v>0</v>
      </c>
      <c r="BE41" s="395">
        <f t="shared" si="46"/>
        <v>0</v>
      </c>
      <c r="BF41" s="395">
        <f t="shared" si="46"/>
        <v>0</v>
      </c>
      <c r="BG41" s="395">
        <f t="shared" si="46"/>
        <v>0</v>
      </c>
      <c r="BH41" s="395">
        <f t="shared" si="46"/>
        <v>0</v>
      </c>
      <c r="BI41" s="395">
        <f t="shared" si="46"/>
        <v>0</v>
      </c>
      <c r="BJ41" s="395">
        <f t="shared" si="46"/>
        <v>0</v>
      </c>
      <c r="BK41" s="395">
        <f t="shared" si="46"/>
        <v>0</v>
      </c>
      <c r="BL41" s="395">
        <f t="shared" si="46"/>
        <v>0</v>
      </c>
      <c r="BM41" s="395">
        <f t="shared" si="46"/>
        <v>0</v>
      </c>
      <c r="BN41" s="395">
        <f t="shared" si="46"/>
        <v>0</v>
      </c>
      <c r="BO41" s="395">
        <f t="shared" si="46"/>
        <v>0</v>
      </c>
      <c r="BP41" s="395">
        <f t="shared" si="46"/>
        <v>0</v>
      </c>
      <c r="BQ41" s="395">
        <f t="shared" si="46"/>
        <v>0</v>
      </c>
      <c r="BR41" s="395">
        <f t="shared" si="46"/>
        <v>0</v>
      </c>
      <c r="BS41" s="395">
        <f t="shared" si="46"/>
        <v>0</v>
      </c>
      <c r="BT41" s="395">
        <f t="shared" si="46"/>
        <v>0</v>
      </c>
      <c r="BU41" s="395">
        <f t="shared" si="46"/>
        <v>0</v>
      </c>
      <c r="BV41" s="395">
        <f t="shared" si="46"/>
        <v>0</v>
      </c>
      <c r="BW41" s="395">
        <f t="shared" si="46"/>
        <v>0</v>
      </c>
      <c r="BX41" s="395">
        <f t="shared" si="46"/>
        <v>0</v>
      </c>
      <c r="BY41" s="395">
        <f t="shared" si="46"/>
        <v>0</v>
      </c>
      <c r="BZ41" s="395">
        <f t="shared" si="46"/>
        <v>0</v>
      </c>
      <c r="CA41" s="395">
        <f t="shared" si="46"/>
        <v>0</v>
      </c>
      <c r="CB41" s="395">
        <f t="shared" si="46"/>
        <v>0</v>
      </c>
      <c r="CC41" s="395">
        <f t="shared" si="46"/>
        <v>0</v>
      </c>
      <c r="CD41" s="395">
        <f t="shared" si="46"/>
        <v>0</v>
      </c>
      <c r="CE41" s="395">
        <f t="shared" si="46"/>
        <v>0</v>
      </c>
      <c r="CF41" s="395">
        <f t="shared" si="46"/>
        <v>0</v>
      </c>
      <c r="CG41" s="395">
        <f t="shared" si="46"/>
        <v>0</v>
      </c>
      <c r="CH41" s="395">
        <f t="shared" si="46"/>
        <v>0</v>
      </c>
      <c r="CI41" s="395">
        <f t="shared" si="46"/>
        <v>0</v>
      </c>
      <c r="CJ41" s="395">
        <f t="shared" si="46"/>
        <v>0</v>
      </c>
      <c r="CK41" s="395">
        <f t="shared" si="46"/>
        <v>0</v>
      </c>
      <c r="CL41" s="395">
        <f t="shared" si="46"/>
        <v>0</v>
      </c>
      <c r="CM41" s="395">
        <f t="shared" si="46"/>
        <v>0</v>
      </c>
    </row>
    <row r="42" spans="1:92">
      <c r="AR42" t="s">
        <v>313</v>
      </c>
      <c r="AS42" s="388">
        <f>SUMIFS(AS2:AS33,G2:G33,"GVEA",E2:E33,"0494",F2:F33,"00",AT2:AT33,1)</f>
        <v>0</v>
      </c>
      <c r="AT42" s="388">
        <f>SUMIFS(AS2:AS33,G2:G33,"GVEA",E2:E33,"0494",F2:F33,"00",AT2:AT33,3)</f>
        <v>0</v>
      </c>
      <c r="AU42" s="388">
        <f>SUMIFS(AU2:AU33,G2:G33,"GVEA",E2:E33,"0494",F2:F33,"00")</f>
        <v>0</v>
      </c>
      <c r="AV42" s="388">
        <f>SUMIFS(AV2:AV33,G2:G33,"GVEA",E2:E33,"0494",F2:F33,"00")</f>
        <v>0</v>
      </c>
      <c r="AW42" s="388">
        <f>SUMIFS(AW2:AW33,G2:G33,"GVEA",E2:E33,"0494",F2:F33,"00")</f>
        <v>0</v>
      </c>
      <c r="AX42" s="388">
        <f>SUMIFS(AX2:AX33,G2:G33,"GVEA",E2:E33,"0494",F2:F33,"00")</f>
        <v>0</v>
      </c>
      <c r="AY42" s="388">
        <f>SUMIFS(AY2:AY33,G2:G33,"GVEA",E2:E33,"0494",F2:F33,"00")</f>
        <v>0</v>
      </c>
      <c r="AZ42" s="388">
        <f>SUMIFS(AZ2:AZ33,G2:G33,"GVEA",E2:E33,"0494",F2:F33,"00")</f>
        <v>0</v>
      </c>
      <c r="BA42" s="388">
        <f>SUMIFS(BA2:BA33,G2:G33,"GVEA",E2:E33,"0494",F2:F33,"00")</f>
        <v>0</v>
      </c>
      <c r="BB42" s="388">
        <f>SUMIFS(BB2:BB33,G2:G33,"GVEA",E2:E33,"0494",F2:F33,"00")</f>
        <v>0</v>
      </c>
      <c r="BC42" s="388">
        <f>SUMIFS(BC2:BC33,G2:G33,"GVEA",E2:E33,"0494",F2:F33,"00")</f>
        <v>0</v>
      </c>
      <c r="BD42" s="388">
        <f>SUMIFS(BD2:BD33,G2:G33,"GVEA",E2:E33,"0494",F2:F33,"00")</f>
        <v>0</v>
      </c>
      <c r="BE42" s="388">
        <f>SUMIFS(BE2:BE33,G2:G33,"GVEA",E2:E33,"0494",F2:F33,"00")</f>
        <v>0</v>
      </c>
      <c r="BF42" s="388">
        <f>SUMIFS(BF2:BF33,G2:G33,"GVEA",E2:E33,"0494",F2:F33,"00")</f>
        <v>0</v>
      </c>
      <c r="BG42" s="388">
        <f>SUMIFS(BG2:BG33,G2:G33,"GVEA",E2:E33,"0494",F2:F33,"00")</f>
        <v>0</v>
      </c>
      <c r="BH42" s="388">
        <f>SUMIFS(BH2:BH33,G2:G33,"GVEA",E2:E33,"0494",F2:F33,"00")</f>
        <v>0</v>
      </c>
      <c r="BI42" s="388">
        <f>SUMIFS(BI2:BI33,G2:G33,"GVEA",E2:E33,"0494",F2:F33,"00")</f>
        <v>0</v>
      </c>
      <c r="BJ42" s="388">
        <f>SUMIFS(BJ2:BJ33,G2:G33,"GVEA",E2:E33,"0494",F2:F33,"00")</f>
        <v>0</v>
      </c>
      <c r="BK42" s="388">
        <f>SUMIFS(BK2:BK33,G2:G33,"GVEA",E2:E33,"0494",F2:F33,"00")</f>
        <v>0</v>
      </c>
      <c r="BL42" s="388">
        <f>SUMIFS(BL2:BL33,G2:G33,"GVEA",E2:E33,"0494",F2:F33,"00")</f>
        <v>0</v>
      </c>
      <c r="BM42" s="388">
        <f>SUMIFS(BM2:BM33,G2:G33,"GVEA",E2:E33,"0494",F2:F33,"00")</f>
        <v>0</v>
      </c>
      <c r="BN42" s="388">
        <f>SUMIFS(BN2:BN33,G2:G33,"GVEA",E2:E33,"0494",F2:F33,"00")</f>
        <v>0</v>
      </c>
      <c r="BO42" s="388">
        <f>SUMIFS(BO2:BO33,G2:G33,"GVEA",E2:E33,"0494",F2:F33,"00")</f>
        <v>0</v>
      </c>
      <c r="BP42" s="388">
        <f>SUMIFS(BP2:BP33,G2:G33,"GVEA",E2:E33,"0494",F2:F33,"00")</f>
        <v>0</v>
      </c>
      <c r="BQ42" s="388">
        <f>SUMIFS(BQ2:BQ33,G2:G33,"GVEA",E2:E33,"0494",F2:F33,"00")</f>
        <v>0</v>
      </c>
      <c r="BR42" s="388">
        <f>SUMIFS(BR2:BR33,G2:G33,"GVEA",E2:E33,"0494",F2:F33,"00")</f>
        <v>0</v>
      </c>
      <c r="BS42" s="388">
        <f>SUMIFS(BS2:BS33,G2:G33,"GVEA",E2:E33,"0494",F2:F33,"00")</f>
        <v>0</v>
      </c>
      <c r="BT42" s="388">
        <f>SUMIFS(BT2:BT33,G2:G33,"GVEA",E2:E33,"0494",F2:F33,"00")</f>
        <v>0</v>
      </c>
      <c r="BU42" s="388">
        <f>SUMIFS(BU2:BU33,G2:G33,"GVEA",E2:E33,"0494",F2:F33,"00")</f>
        <v>0</v>
      </c>
      <c r="BV42" s="388">
        <f>SUMIFS(BV2:BV33,G2:G33,"GVEA",E2:E33,"0494",F2:F33,"00")</f>
        <v>0</v>
      </c>
      <c r="BW42" s="388">
        <f>SUMIFS(BW2:BW33,G2:G33,"GVEA",E2:E33,"0494",F2:F33,"00")</f>
        <v>0</v>
      </c>
      <c r="BX42" s="388">
        <f>SUMIFS(BX2:BX33,G2:G33,"GVEA",E2:E33,"0494",F2:F33,"00")</f>
        <v>0</v>
      </c>
      <c r="BY42" s="388">
        <f>SUMIFS(BY2:BY33,G2:G33,"GVEA",E2:E33,"0494",F2:F33,"00")</f>
        <v>0</v>
      </c>
      <c r="BZ42" s="388">
        <f>SUMIFS(BZ2:BZ33,G2:G33,"GVEA",E2:E33,"0494",F2:F33,"00")</f>
        <v>0</v>
      </c>
      <c r="CA42" s="388">
        <f>SUMIFS(CA2:CA33,G2:G33,"GVEA",E2:E33,"0494",F2:F33,"00")</f>
        <v>0</v>
      </c>
      <c r="CB42" s="388">
        <f>SUMIFS(CB2:CB33,G2:G33,"GVEA",E2:E33,"0494",F2:F33,"00")</f>
        <v>0</v>
      </c>
      <c r="CC42" s="388">
        <f>SUMIFS(CC2:CC33,G2:G33,"GVEA",E2:E33,"0494",F2:F33,"00")</f>
        <v>0</v>
      </c>
      <c r="CD42" s="388">
        <f>SUMIFS(CD2:CD33,G2:G33,"GVEA",E2:E33,"0494",F2:F33,"00")</f>
        <v>0</v>
      </c>
      <c r="CE42" s="388">
        <f>SUMIFS(CE2:CE33,G2:G33,"GVEA",E2:E33,"0494",F2:F33,"00")</f>
        <v>0</v>
      </c>
      <c r="CF42" s="388">
        <f>SUMIFS(CF2:CF33,G2:G33,"GVEA",E2:E33,"0494",F2:F33,"00")</f>
        <v>0</v>
      </c>
      <c r="CG42" s="388">
        <f>SUMIFS(CG2:CG33,G2:G33,"GVEA",E2:E33,"0494",F2:F33,"00")</f>
        <v>0</v>
      </c>
      <c r="CH42" s="388">
        <f>SUMIFS(CH2:CH33,G2:G33,"GVEA",E2:E33,"0494",F2:F33,"00")</f>
        <v>0</v>
      </c>
      <c r="CI42" s="388">
        <f>SUMIFS(CI2:CI33,G2:G33,"GVEA",E2:E33,"0494",F2:F33,"00")</f>
        <v>0</v>
      </c>
      <c r="CJ42" s="388">
        <f>SUMIFS(CJ2:CJ33,G2:G33,"GVEA",E2:E33,"0494",F2:F33,"00")</f>
        <v>0</v>
      </c>
      <c r="CK42" s="388">
        <f>SUMIFS(CK2:CK33,G2:G33,"GVEA",E2:E33,"0494",F2:F33,"00")</f>
        <v>0</v>
      </c>
      <c r="CL42" s="388">
        <f>SUMIFS(CL2:CL33,G2:G33,"GVEA",E2:E33,"0494",F2:F33,"00")</f>
        <v>0</v>
      </c>
      <c r="CM42" s="388">
        <f>SUMIFS(CM2:CM33,G2:G33,"GVEA",E2:E33,"0494",F2:F33,"00")</f>
        <v>0</v>
      </c>
    </row>
    <row r="43" spans="1:92" ht="15.75" thickBot="1">
      <c r="AR43" t="s">
        <v>314</v>
      </c>
      <c r="AS43" s="388">
        <f>SUMIFS(AS2:AS33,G2:G33,"GVEA",E2:E33,"0494",F2:F33,"03",AT2:AT33,1)</f>
        <v>0.5</v>
      </c>
      <c r="AT43" s="388">
        <f>SUMIFS(AS2:AS33,G2:G33,"GVEA",E2:E33,"0494",F2:F33,"03",AT2:AT33,3)</f>
        <v>0</v>
      </c>
      <c r="AU43" s="388">
        <f>SUMIFS(AU2:AU33,G2:G33,"GVEA",E2:E33,"0494",F2:F33,"03")</f>
        <v>1</v>
      </c>
      <c r="AV43" s="388">
        <f>SUMIFS(AV2:AV33,G2:G33,"GVEA",E2:E33,"0494",F2:F33,"03")</f>
        <v>0</v>
      </c>
      <c r="AW43" s="388">
        <f>SUMIFS(AW2:AW33,G2:G33,"GVEA",E2:E33,"0494",F2:F33,"03")</f>
        <v>28</v>
      </c>
      <c r="AX43" s="388">
        <f>SUMIFS(AX2:AX33,G2:G33,"GVEA",E2:E33,"0494",F2:F33,"03")</f>
        <v>73299.199999999997</v>
      </c>
      <c r="AY43" s="388">
        <f>SUMIFS(AY2:AY33,G2:G33,"GVEA",E2:E33,"0494",F2:F33,"03")</f>
        <v>36649.599999999999</v>
      </c>
      <c r="AZ43" s="388">
        <f>SUMIFS(AZ2:AZ33,G2:G33,"GVEA",E2:E33,"0494",F2:F33,"03")</f>
        <v>0</v>
      </c>
      <c r="BA43" s="388">
        <f>SUMIFS(BA2:BA33,G2:G33,"GVEA",E2:E33,"0494",F2:F33,"03")</f>
        <v>0</v>
      </c>
      <c r="BB43" s="388">
        <f>SUMIFS(BB2:BB33,G2:G33,"GVEA",E2:E33,"0494",F2:F33,"03")</f>
        <v>6250</v>
      </c>
      <c r="BC43" s="388">
        <f>SUMIFS(BC2:BC33,G2:G33,"GVEA",E2:E33,"0494",F2:F33,"03")</f>
        <v>0</v>
      </c>
      <c r="BD43" s="388">
        <f>SUMIFS(BD2:BD33,G2:G33,"GVEA",E2:E33,"0494",F2:F33,"03")</f>
        <v>2272.2752</v>
      </c>
      <c r="BE43" s="388">
        <f>SUMIFS(BE2:BE33,G2:G33,"GVEA",E2:E33,"0494",F2:F33,"03")</f>
        <v>531.41920000000005</v>
      </c>
      <c r="BF43" s="388">
        <f>SUMIFS(BF2:BF33,G2:G33,"GVEA",E2:E33,"0494",F2:F33,"03")</f>
        <v>4375.9622399999998</v>
      </c>
      <c r="BG43" s="388">
        <f>SUMIFS(BG2:BG33,G2:G33,"GVEA",E2:E33,"0494",F2:F33,"03")</f>
        <v>264.24361599999997</v>
      </c>
      <c r="BH43" s="388">
        <f>SUMIFS(BH2:BH33,G2:G33,"GVEA",E2:E33,"0494",F2:F33,"03")</f>
        <v>0</v>
      </c>
      <c r="BI43" s="388">
        <f>SUMIFS(BI2:BI33,G2:G33,"GVEA",E2:E33,"0494",F2:F33,"03")</f>
        <v>0</v>
      </c>
      <c r="BJ43" s="388">
        <f>SUMIFS(BJ2:BJ33,G2:G33,"GVEA",E2:E33,"0494",F2:F33,"03")</f>
        <v>131.93856</v>
      </c>
      <c r="BK43" s="388">
        <f>SUMIFS(BK2:BK33,G2:G33,"GVEA",E2:E33,"0494",F2:F33,"03")</f>
        <v>0</v>
      </c>
      <c r="BL43" s="388">
        <f>SUMIFS(BL2:BL33,G2:G33,"GVEA",E2:E33,"0494",F2:F33,"03")</f>
        <v>7575.8388159999995</v>
      </c>
      <c r="BM43" s="388">
        <f>SUMIFS(BM2:BM33,G2:G33,"GVEA",E2:E33,"0494",F2:F33,"03")</f>
        <v>0</v>
      </c>
      <c r="BN43" s="388">
        <f>SUMIFS(BN2:BN33,G2:G33,"GVEA",E2:E33,"0494",F2:F33,"03")</f>
        <v>6875</v>
      </c>
      <c r="BO43" s="388">
        <f>SUMIFS(BO2:BO33,G2:G33,"GVEA",E2:E33,"0494",F2:F33,"03")</f>
        <v>0</v>
      </c>
      <c r="BP43" s="388">
        <f>SUMIFS(BP2:BP33,G2:G33,"GVEA",E2:E33,"0494",F2:F33,"03")</f>
        <v>2272.2752</v>
      </c>
      <c r="BQ43" s="388">
        <f>SUMIFS(BQ2:BQ33,G2:G33,"GVEA",E2:E33,"0494",F2:F33,"03")</f>
        <v>531.41920000000005</v>
      </c>
      <c r="BR43" s="388">
        <f>SUMIFS(BR2:BR33,G2:G33,"GVEA",E2:E33,"0494",F2:F33,"03")</f>
        <v>4097.4252799999995</v>
      </c>
      <c r="BS43" s="388">
        <f>SUMIFS(BS2:BS33,G2:G33,"GVEA",E2:E33,"0494",F2:F33,"03")</f>
        <v>264.24361599999997</v>
      </c>
      <c r="BT43" s="388">
        <f>SUMIFS(BT2:BT33,G2:G33,"GVEA",E2:E33,"0494",F2:F33,"03")</f>
        <v>0</v>
      </c>
      <c r="BU43" s="388">
        <f>SUMIFS(BU2:BU33,G2:G33,"GVEA",E2:E33,"0494",F2:F33,"03")</f>
        <v>0</v>
      </c>
      <c r="BV43" s="388">
        <f>SUMIFS(BV2:BV33,G2:G33,"GVEA",E2:E33,"0494",F2:F33,"03")</f>
        <v>87.959039999999987</v>
      </c>
      <c r="BW43" s="388">
        <f>SUMIFS(BW2:BW33,G2:G33,"GVEA",E2:E33,"0494",F2:F33,"03")</f>
        <v>0</v>
      </c>
      <c r="BX43" s="388">
        <f>SUMIFS(BX2:BX33,G2:G33,"GVEA",E2:E33,"0494",F2:F33,"03")</f>
        <v>7253.3223359999993</v>
      </c>
      <c r="BY43" s="388">
        <f>SUMIFS(BY2:BY33,G2:G33,"GVEA",E2:E33,"0494",F2:F33,"03")</f>
        <v>0</v>
      </c>
      <c r="BZ43" s="388">
        <f>SUMIFS(BZ2:BZ33,G2:G33,"GVEA",E2:E33,"0494",F2:F33,"03")</f>
        <v>625</v>
      </c>
      <c r="CA43" s="388">
        <f>SUMIFS(CA2:CA33,G2:G33,"GVEA",E2:E33,"0494",F2:F33,"03")</f>
        <v>0</v>
      </c>
      <c r="CB43" s="388">
        <f>SUMIFS(CB2:CB33,G2:G33,"GVEA",E2:E33,"0494",F2:F33,"03")</f>
        <v>0</v>
      </c>
      <c r="CC43" s="388">
        <f>SUMIFS(CC2:CC33,G2:G33,"GVEA",E2:E33,"0494",F2:F33,"03")</f>
        <v>0</v>
      </c>
      <c r="CD43" s="388">
        <f>SUMIFS(CD2:CD33,G2:G33,"GVEA",E2:E33,"0494",F2:F33,"03")</f>
        <v>-278.53696000000036</v>
      </c>
      <c r="CE43" s="388">
        <f>SUMIFS(CE2:CE33,G2:G33,"GVEA",E2:E33,"0494",F2:F33,"03")</f>
        <v>0</v>
      </c>
      <c r="CF43" s="388">
        <f>SUMIFS(CF2:CF33,G2:G33,"GVEA",E2:E33,"0494",F2:F33,"03")</f>
        <v>0</v>
      </c>
      <c r="CG43" s="388">
        <f>SUMIFS(CG2:CG33,G2:G33,"GVEA",E2:E33,"0494",F2:F33,"03")</f>
        <v>0</v>
      </c>
      <c r="CH43" s="388">
        <f>SUMIFS(CH2:CH33,G2:G33,"GVEA",E2:E33,"0494",F2:F33,"03")</f>
        <v>-43.979520000000001</v>
      </c>
      <c r="CI43" s="388">
        <f>SUMIFS(CI2:CI33,G2:G33,"GVEA",E2:E33,"0494",F2:F33,"03")</f>
        <v>0</v>
      </c>
      <c r="CJ43" s="388">
        <f>SUMIFS(CJ2:CJ33,G2:G33,"GVEA",E2:E33,"0494",F2:F33,"03")</f>
        <v>-322.51648000000034</v>
      </c>
      <c r="CK43" s="388">
        <f>SUMIFS(CK2:CK33,G2:G33,"GVEA",E2:E33,"0494",F2:F33,"03")</f>
        <v>0</v>
      </c>
      <c r="CL43" s="388">
        <f>SUMIFS(CL2:CL33,G2:G33,"GVEA",E2:E33,"0494",F2:F33,"03")</f>
        <v>10028</v>
      </c>
      <c r="CM43" s="388">
        <f>SUMIFS(CM2:CM33,G2:G33,"GVEA",E2:E33,"0494",F2:F33,"03")</f>
        <v>4120.7299999999996</v>
      </c>
    </row>
    <row r="44" spans="1:92" ht="18.75">
      <c r="AQ44" s="394" t="s">
        <v>315</v>
      </c>
      <c r="AS44" s="395">
        <f t="shared" ref="AS44:CM44" si="47">SUM(AS42:AS43)</f>
        <v>0.5</v>
      </c>
      <c r="AT44" s="395">
        <f t="shared" si="47"/>
        <v>0</v>
      </c>
      <c r="AU44" s="395">
        <f t="shared" si="47"/>
        <v>1</v>
      </c>
      <c r="AV44" s="395">
        <f t="shared" si="47"/>
        <v>0</v>
      </c>
      <c r="AW44" s="395">
        <f t="shared" si="47"/>
        <v>28</v>
      </c>
      <c r="AX44" s="395">
        <f t="shared" si="47"/>
        <v>73299.199999999997</v>
      </c>
      <c r="AY44" s="395">
        <f t="shared" si="47"/>
        <v>36649.599999999999</v>
      </c>
      <c r="AZ44" s="395">
        <f t="shared" si="47"/>
        <v>0</v>
      </c>
      <c r="BA44" s="395">
        <f t="shared" si="47"/>
        <v>0</v>
      </c>
      <c r="BB44" s="395">
        <f t="shared" si="47"/>
        <v>6250</v>
      </c>
      <c r="BC44" s="395">
        <f t="shared" si="47"/>
        <v>0</v>
      </c>
      <c r="BD44" s="395">
        <f t="shared" si="47"/>
        <v>2272.2752</v>
      </c>
      <c r="BE44" s="395">
        <f t="shared" si="47"/>
        <v>531.41920000000005</v>
      </c>
      <c r="BF44" s="395">
        <f t="shared" si="47"/>
        <v>4375.9622399999998</v>
      </c>
      <c r="BG44" s="395">
        <f t="shared" si="47"/>
        <v>264.24361599999997</v>
      </c>
      <c r="BH44" s="395">
        <f t="shared" si="47"/>
        <v>0</v>
      </c>
      <c r="BI44" s="395">
        <f t="shared" si="47"/>
        <v>0</v>
      </c>
      <c r="BJ44" s="395">
        <f t="shared" si="47"/>
        <v>131.93856</v>
      </c>
      <c r="BK44" s="395">
        <f t="shared" si="47"/>
        <v>0</v>
      </c>
      <c r="BL44" s="395">
        <f t="shared" si="47"/>
        <v>7575.8388159999995</v>
      </c>
      <c r="BM44" s="395">
        <f t="shared" si="47"/>
        <v>0</v>
      </c>
      <c r="BN44" s="395">
        <f t="shared" si="47"/>
        <v>6875</v>
      </c>
      <c r="BO44" s="395">
        <f t="shared" si="47"/>
        <v>0</v>
      </c>
      <c r="BP44" s="395">
        <f t="shared" si="47"/>
        <v>2272.2752</v>
      </c>
      <c r="BQ44" s="395">
        <f t="shared" si="47"/>
        <v>531.41920000000005</v>
      </c>
      <c r="BR44" s="395">
        <f t="shared" si="47"/>
        <v>4097.4252799999995</v>
      </c>
      <c r="BS44" s="395">
        <f t="shared" si="47"/>
        <v>264.24361599999997</v>
      </c>
      <c r="BT44" s="395">
        <f t="shared" si="47"/>
        <v>0</v>
      </c>
      <c r="BU44" s="395">
        <f t="shared" si="47"/>
        <v>0</v>
      </c>
      <c r="BV44" s="395">
        <f t="shared" si="47"/>
        <v>87.959039999999987</v>
      </c>
      <c r="BW44" s="395">
        <f t="shared" si="47"/>
        <v>0</v>
      </c>
      <c r="BX44" s="395">
        <f t="shared" si="47"/>
        <v>7253.3223359999993</v>
      </c>
      <c r="BY44" s="395">
        <f t="shared" si="47"/>
        <v>0</v>
      </c>
      <c r="BZ44" s="395">
        <f t="shared" si="47"/>
        <v>625</v>
      </c>
      <c r="CA44" s="395">
        <f t="shared" si="47"/>
        <v>0</v>
      </c>
      <c r="CB44" s="395">
        <f t="shared" si="47"/>
        <v>0</v>
      </c>
      <c r="CC44" s="395">
        <f t="shared" si="47"/>
        <v>0</v>
      </c>
      <c r="CD44" s="395">
        <f t="shared" si="47"/>
        <v>-278.53696000000036</v>
      </c>
      <c r="CE44" s="395">
        <f t="shared" si="47"/>
        <v>0</v>
      </c>
      <c r="CF44" s="395">
        <f t="shared" si="47"/>
        <v>0</v>
      </c>
      <c r="CG44" s="395">
        <f t="shared" si="47"/>
        <v>0</v>
      </c>
      <c r="CH44" s="395">
        <f t="shared" si="47"/>
        <v>-43.979520000000001</v>
      </c>
      <c r="CI44" s="395">
        <f t="shared" si="47"/>
        <v>0</v>
      </c>
      <c r="CJ44" s="395">
        <f t="shared" si="47"/>
        <v>-322.51648000000034</v>
      </c>
      <c r="CK44" s="395">
        <f t="shared" si="47"/>
        <v>0</v>
      </c>
      <c r="CL44" s="395">
        <f t="shared" si="47"/>
        <v>10028</v>
      </c>
      <c r="CM44" s="395">
        <f t="shared" si="47"/>
        <v>4120.7299999999996</v>
      </c>
    </row>
    <row r="45" spans="1:92" ht="15.75" thickBot="1">
      <c r="AR45" t="s">
        <v>320</v>
      </c>
      <c r="AS45" s="388">
        <f>SUMIFS(AS2:AS33,G2:G33,"GVEB",E2:E33,"0199",F2:F33,"00",AT2:AT33,1)</f>
        <v>0.79999999999999993</v>
      </c>
      <c r="AT45" s="388">
        <f>SUMIFS(AS2:AS33,G2:G33,"GVEB",E2:E33,"0199",F2:F33,"00",AT2:AT33,3)</f>
        <v>0</v>
      </c>
      <c r="AU45" s="388">
        <f>SUMIFS(AU2:AU33,G2:G33,"GVEB",E2:E33,"0199",F2:F33,"00")</f>
        <v>2</v>
      </c>
      <c r="AV45" s="388">
        <f>SUMIFS(AV2:AV33,G2:G33,"GVEB",E2:E33,"0199",F2:F33,"00")</f>
        <v>0</v>
      </c>
      <c r="AW45" s="388">
        <f>SUMIFS(AW2:AW33,G2:G33,"GVEB",E2:E33,"0199",F2:F33,"00")</f>
        <v>26</v>
      </c>
      <c r="AX45" s="388">
        <f>SUMIFS(AX2:AX33,G2:G33,"GVEB",E2:E33,"0199",F2:F33,"00")</f>
        <v>214531.20000000001</v>
      </c>
      <c r="AY45" s="388">
        <f>SUMIFS(AY2:AY33,G2:G33,"GVEB",E2:E33,"0199",F2:F33,"00")</f>
        <v>99453.119999999995</v>
      </c>
      <c r="AZ45" s="388">
        <f>SUMIFS(AZ2:AZ33,G2:G33,"GVEB",E2:E33,"0199",F2:F33,"00")</f>
        <v>0</v>
      </c>
      <c r="BA45" s="388">
        <f>SUMIFS(BA2:BA33,G2:G33,"GVEB",E2:E33,"0199",F2:F33,"00")</f>
        <v>0</v>
      </c>
      <c r="BB45" s="388">
        <f>SUMIFS(BB2:BB33,G2:G33,"GVEB",E2:E33,"0199",F2:F33,"00")</f>
        <v>10000</v>
      </c>
      <c r="BC45" s="388">
        <f>SUMIFS(BC2:BC33,G2:G33,"GVEB",E2:E33,"0199",F2:F33,"00")</f>
        <v>0</v>
      </c>
      <c r="BD45" s="388">
        <f>SUMIFS(BD2:BD33,G2:G33,"GVEB",E2:E33,"0199",F2:F33,"00")</f>
        <v>6166.0934400000006</v>
      </c>
      <c r="BE45" s="388">
        <f>SUMIFS(BE2:BE33,G2:G33,"GVEB",E2:E33,"0199",F2:F33,"00")</f>
        <v>1442.07024</v>
      </c>
      <c r="BF45" s="388">
        <f>SUMIFS(BF2:BF33,G2:G33,"GVEB",E2:E33,"0199",F2:F33,"00")</f>
        <v>11874.702528000002</v>
      </c>
      <c r="BG45" s="388">
        <f>SUMIFS(BG2:BG33,G2:G33,"GVEB",E2:E33,"0199",F2:F33,"00")</f>
        <v>717.05699520000007</v>
      </c>
      <c r="BH45" s="388">
        <f>SUMIFS(BH2:BH33,G2:G33,"GVEB",E2:E33,"0199",F2:F33,"00")</f>
        <v>0</v>
      </c>
      <c r="BI45" s="388">
        <f>SUMIFS(BI2:BI33,G2:G33,"GVEB",E2:E33,"0199",F2:F33,"00")</f>
        <v>0</v>
      </c>
      <c r="BJ45" s="388">
        <f>SUMIFS(BJ2:BJ33,G2:G33,"GVEB",E2:E33,"0199",F2:F33,"00")</f>
        <v>358.03123199999999</v>
      </c>
      <c r="BK45" s="388">
        <f>SUMIFS(BK2:BK33,G2:G33,"GVEB",E2:E33,"0199",F2:F33,"00")</f>
        <v>0</v>
      </c>
      <c r="BL45" s="388">
        <f>SUMIFS(BL2:BL33,G2:G33,"GVEB",E2:E33,"0199",F2:F33,"00")</f>
        <v>20557.954435200001</v>
      </c>
      <c r="BM45" s="388">
        <f>SUMIFS(BM2:BM33,G2:G33,"GVEB",E2:E33,"0199",F2:F33,"00")</f>
        <v>0</v>
      </c>
      <c r="BN45" s="388">
        <f>SUMIFS(BN2:BN33,G2:G33,"GVEB",E2:E33,"0199",F2:F33,"00")</f>
        <v>11000</v>
      </c>
      <c r="BO45" s="388">
        <f>SUMIFS(BO2:BO33,G2:G33,"GVEB",E2:E33,"0199",F2:F33,"00")</f>
        <v>0</v>
      </c>
      <c r="BP45" s="388">
        <f>SUMIFS(BP2:BP33,G2:G33,"GVEB",E2:E33,"0199",F2:F33,"00")</f>
        <v>6166.0934400000006</v>
      </c>
      <c r="BQ45" s="388">
        <f>SUMIFS(BQ2:BQ33,G2:G33,"GVEB",E2:E33,"0199",F2:F33,"00")</f>
        <v>1442.07024</v>
      </c>
      <c r="BR45" s="388">
        <f>SUMIFS(BR2:BR33,G2:G33,"GVEB",E2:E33,"0199",F2:F33,"00")</f>
        <v>11118.858816</v>
      </c>
      <c r="BS45" s="388">
        <f>SUMIFS(BS2:BS33,G2:G33,"GVEB",E2:E33,"0199",F2:F33,"00")</f>
        <v>717.05699520000007</v>
      </c>
      <c r="BT45" s="388">
        <f>SUMIFS(BT2:BT33,G2:G33,"GVEB",E2:E33,"0199",F2:F33,"00")</f>
        <v>0</v>
      </c>
      <c r="BU45" s="388">
        <f>SUMIFS(BU2:BU33,G2:G33,"GVEB",E2:E33,"0199",F2:F33,"00")</f>
        <v>0</v>
      </c>
      <c r="BV45" s="388">
        <f>SUMIFS(BV2:BV33,G2:G33,"GVEB",E2:E33,"0199",F2:F33,"00")</f>
        <v>238.68748799999997</v>
      </c>
      <c r="BW45" s="388">
        <f>SUMIFS(BW2:BW33,G2:G33,"GVEB",E2:E33,"0199",F2:F33,"00")</f>
        <v>0</v>
      </c>
      <c r="BX45" s="388">
        <f>SUMIFS(BX2:BX33,G2:G33,"GVEB",E2:E33,"0199",F2:F33,"00")</f>
        <v>19682.766979200002</v>
      </c>
      <c r="BY45" s="388">
        <f>SUMIFS(BY2:BY33,G2:G33,"GVEB",E2:E33,"0199",F2:F33,"00")</f>
        <v>0</v>
      </c>
      <c r="BZ45" s="388">
        <f>SUMIFS(BZ2:BZ33,G2:G33,"GVEB",E2:E33,"0199",F2:F33,"00")</f>
        <v>1000</v>
      </c>
      <c r="CA45" s="388">
        <f>SUMIFS(CA2:CA33,G2:G33,"GVEB",E2:E33,"0199",F2:F33,"00")</f>
        <v>0</v>
      </c>
      <c r="CB45" s="388">
        <f>SUMIFS(CB2:CB33,G2:G33,"GVEB",E2:E33,"0199",F2:F33,"00")</f>
        <v>0</v>
      </c>
      <c r="CC45" s="388">
        <f>SUMIFS(CC2:CC33,G2:G33,"GVEB",E2:E33,"0199",F2:F33,"00")</f>
        <v>0</v>
      </c>
      <c r="CD45" s="388">
        <f>SUMIFS(CD2:CD33,G2:G33,"GVEB",E2:E33,"0199",F2:F33,"00")</f>
        <v>-755.84371200000089</v>
      </c>
      <c r="CE45" s="388">
        <f>SUMIFS(CE2:CE33,G2:G33,"GVEB",E2:E33,"0199",F2:F33,"00")</f>
        <v>0</v>
      </c>
      <c r="CF45" s="388">
        <f>SUMIFS(CF2:CF33,G2:G33,"GVEB",E2:E33,"0199",F2:F33,"00")</f>
        <v>0</v>
      </c>
      <c r="CG45" s="388">
        <f>SUMIFS(CG2:CG33,G2:G33,"GVEB",E2:E33,"0199",F2:F33,"00")</f>
        <v>0</v>
      </c>
      <c r="CH45" s="388">
        <f>SUMIFS(CH2:CH33,G2:G33,"GVEB",E2:E33,"0199",F2:F33,"00")</f>
        <v>-119.34374400000002</v>
      </c>
      <c r="CI45" s="388">
        <f>SUMIFS(CI2:CI33,G2:G33,"GVEB",E2:E33,"0199",F2:F33,"00")</f>
        <v>0</v>
      </c>
      <c r="CJ45" s="388">
        <f>SUMIFS(CJ2:CJ33,G2:G33,"GVEB",E2:E33,"0199",F2:F33,"00")</f>
        <v>-875.18745600000091</v>
      </c>
      <c r="CK45" s="388">
        <f>SUMIFS(CK2:CK33,G2:G33,"GVEB",E2:E33,"0199",F2:F33,"00")</f>
        <v>0</v>
      </c>
      <c r="CL45" s="388">
        <f>SUMIFS(CL2:CL33,G2:G33,"GVEB",E2:E33,"0199",F2:F33,"00")</f>
        <v>0</v>
      </c>
      <c r="CM45" s="388">
        <f>SUMIFS(CM2:CM33,G2:G33,"GVEB",E2:E33,"0199",F2:F33,"00")</f>
        <v>0</v>
      </c>
    </row>
    <row r="46" spans="1:92" ht="18.75">
      <c r="AQ46" s="394" t="s">
        <v>321</v>
      </c>
      <c r="AS46" s="395">
        <f t="shared" ref="AS46:CM46" si="48">SUM(AS45:AS45)</f>
        <v>0.79999999999999993</v>
      </c>
      <c r="AT46" s="395">
        <f t="shared" si="48"/>
        <v>0</v>
      </c>
      <c r="AU46" s="395">
        <f t="shared" si="48"/>
        <v>2</v>
      </c>
      <c r="AV46" s="395">
        <f t="shared" si="48"/>
        <v>0</v>
      </c>
      <c r="AW46" s="395">
        <f t="shared" si="48"/>
        <v>26</v>
      </c>
      <c r="AX46" s="395">
        <f t="shared" si="48"/>
        <v>214531.20000000001</v>
      </c>
      <c r="AY46" s="395">
        <f t="shared" si="48"/>
        <v>99453.119999999995</v>
      </c>
      <c r="AZ46" s="395">
        <f t="shared" si="48"/>
        <v>0</v>
      </c>
      <c r="BA46" s="395">
        <f t="shared" si="48"/>
        <v>0</v>
      </c>
      <c r="BB46" s="395">
        <f t="shared" si="48"/>
        <v>10000</v>
      </c>
      <c r="BC46" s="395">
        <f t="shared" si="48"/>
        <v>0</v>
      </c>
      <c r="BD46" s="395">
        <f t="shared" si="48"/>
        <v>6166.0934400000006</v>
      </c>
      <c r="BE46" s="395">
        <f t="shared" si="48"/>
        <v>1442.07024</v>
      </c>
      <c r="BF46" s="395">
        <f t="shared" si="48"/>
        <v>11874.702528000002</v>
      </c>
      <c r="BG46" s="395">
        <f t="shared" si="48"/>
        <v>717.05699520000007</v>
      </c>
      <c r="BH46" s="395">
        <f t="shared" si="48"/>
        <v>0</v>
      </c>
      <c r="BI46" s="395">
        <f t="shared" si="48"/>
        <v>0</v>
      </c>
      <c r="BJ46" s="395">
        <f t="shared" si="48"/>
        <v>358.03123199999999</v>
      </c>
      <c r="BK46" s="395">
        <f t="shared" si="48"/>
        <v>0</v>
      </c>
      <c r="BL46" s="395">
        <f t="shared" si="48"/>
        <v>20557.954435200001</v>
      </c>
      <c r="BM46" s="395">
        <f t="shared" si="48"/>
        <v>0</v>
      </c>
      <c r="BN46" s="395">
        <f t="shared" si="48"/>
        <v>11000</v>
      </c>
      <c r="BO46" s="395">
        <f t="shared" si="48"/>
        <v>0</v>
      </c>
      <c r="BP46" s="395">
        <f t="shared" si="48"/>
        <v>6166.0934400000006</v>
      </c>
      <c r="BQ46" s="395">
        <f t="shared" si="48"/>
        <v>1442.07024</v>
      </c>
      <c r="BR46" s="395">
        <f t="shared" si="48"/>
        <v>11118.858816</v>
      </c>
      <c r="BS46" s="395">
        <f t="shared" si="48"/>
        <v>717.05699520000007</v>
      </c>
      <c r="BT46" s="395">
        <f t="shared" si="48"/>
        <v>0</v>
      </c>
      <c r="BU46" s="395">
        <f t="shared" si="48"/>
        <v>0</v>
      </c>
      <c r="BV46" s="395">
        <f t="shared" si="48"/>
        <v>238.68748799999997</v>
      </c>
      <c r="BW46" s="395">
        <f t="shared" si="48"/>
        <v>0</v>
      </c>
      <c r="BX46" s="395">
        <f t="shared" si="48"/>
        <v>19682.766979200002</v>
      </c>
      <c r="BY46" s="395">
        <f t="shared" si="48"/>
        <v>0</v>
      </c>
      <c r="BZ46" s="395">
        <f t="shared" si="48"/>
        <v>1000</v>
      </c>
      <c r="CA46" s="395">
        <f t="shared" si="48"/>
        <v>0</v>
      </c>
      <c r="CB46" s="395">
        <f t="shared" si="48"/>
        <v>0</v>
      </c>
      <c r="CC46" s="395">
        <f t="shared" si="48"/>
        <v>0</v>
      </c>
      <c r="CD46" s="395">
        <f t="shared" si="48"/>
        <v>-755.84371200000089</v>
      </c>
      <c r="CE46" s="395">
        <f t="shared" si="48"/>
        <v>0</v>
      </c>
      <c r="CF46" s="395">
        <f t="shared" si="48"/>
        <v>0</v>
      </c>
      <c r="CG46" s="395">
        <f t="shared" si="48"/>
        <v>0</v>
      </c>
      <c r="CH46" s="395">
        <f t="shared" si="48"/>
        <v>-119.34374400000002</v>
      </c>
      <c r="CI46" s="395">
        <f t="shared" si="48"/>
        <v>0</v>
      </c>
      <c r="CJ46" s="395">
        <f t="shared" si="48"/>
        <v>-875.18745600000091</v>
      </c>
      <c r="CK46" s="395">
        <f t="shared" si="48"/>
        <v>0</v>
      </c>
      <c r="CL46" s="395">
        <f t="shared" si="48"/>
        <v>0</v>
      </c>
      <c r="CM46" s="395">
        <f t="shared" si="48"/>
        <v>0</v>
      </c>
    </row>
    <row r="48" spans="1:92" ht="21">
      <c r="AO48" s="251" t="s">
        <v>95</v>
      </c>
      <c r="AP48" s="251"/>
      <c r="AQ48" s="251"/>
    </row>
    <row r="50" spans="41:53" ht="21">
      <c r="AO50" s="252"/>
      <c r="AP50" s="252"/>
      <c r="AQ50" s="252"/>
    </row>
    <row r="51" spans="41:53" ht="15.75">
      <c r="AS51" s="374" t="s">
        <v>81</v>
      </c>
      <c r="AT51" s="478" t="s">
        <v>329</v>
      </c>
      <c r="AU51" s="478"/>
      <c r="AV51" s="479" t="s">
        <v>327</v>
      </c>
      <c r="AW51" s="478" t="s">
        <v>330</v>
      </c>
      <c r="AX51" s="478"/>
      <c r="AY51" s="479" t="s">
        <v>328</v>
      </c>
      <c r="AZ51" s="478" t="s">
        <v>331</v>
      </c>
      <c r="BA51" s="478"/>
    </row>
    <row r="52" spans="41:53" ht="15.75">
      <c r="AS52" s="249"/>
      <c r="AT52" s="374" t="s">
        <v>92</v>
      </c>
      <c r="AU52" s="373" t="s">
        <v>94</v>
      </c>
      <c r="AV52" s="480"/>
      <c r="AW52" s="374" t="s">
        <v>96</v>
      </c>
      <c r="AX52" s="373" t="s">
        <v>93</v>
      </c>
      <c r="AY52" s="480"/>
      <c r="AZ52" s="374" t="s">
        <v>96</v>
      </c>
      <c r="BA52" s="373" t="s">
        <v>93</v>
      </c>
    </row>
    <row r="53" spans="41:53">
      <c r="AO53" s="393" t="s">
        <v>332</v>
      </c>
    </row>
    <row r="54" spans="41:53">
      <c r="AQ54" t="s">
        <v>298</v>
      </c>
      <c r="AS54" s="388">
        <f>SUM(SUMIFS(AS2:AS33,CN2:CN33,AQ54,E2:E33,"0125",F2:F33,"00",AT2:AT33,{1,3}))</f>
        <v>1.8</v>
      </c>
      <c r="AT54" s="388">
        <f>SUMPRODUCT(--(CN2:CN33=AQ54),--(N2:N33&lt;&gt;"NG"),--(AG2:AG33&lt;&gt;"D"),--(AR2:AR33&lt;&gt;6),--(AR2:AR33&lt;&gt;36),--(AR2:AR33&lt;&gt;56),T2:T33)+SUMPRODUCT(--(CN2:CN33=AQ54),--(N2:N33&lt;&gt;"NG"),--(AG2:AG33&lt;&gt;"D"),--(AR2:AR33&lt;&gt;6),--(AR2:AR33&lt;&gt;36),--(AR2:AR33&lt;&gt;56),U2:U33)</f>
        <v>107764.85</v>
      </c>
      <c r="AU54" s="388">
        <f>SUMPRODUCT(--(CN2:CN33=AQ54),--(N2:N33&lt;&gt;"NG"),--(AG2:AG33&lt;&gt;"D"),--(AR2:AR33&lt;&gt;6),--(AR2:AR33&lt;&gt;36),--(AR2:AR33&lt;&gt;56),V2:V33)</f>
        <v>42005.7</v>
      </c>
      <c r="AV54" s="388">
        <f>SUMPRODUCT(--(CN2:CN33=AQ54),AY2:AY33)+SUMPRODUCT(--(CN2:CN33=AQ54),AZ2:AZ33)</f>
        <v>130228.79999999999</v>
      </c>
      <c r="AW54" s="388">
        <f>SUMPRODUCT(--(CN2:CN33=AQ54),BB2:BB33)+SUMPRODUCT(--(CN2:CN33=AQ54),BC2:BC33)</f>
        <v>22500</v>
      </c>
      <c r="AX54" s="388">
        <f>SUMPRODUCT(--(CN2:CN33=AQ54),BL2:BL33)+SUMPRODUCT(--(CN2:CN33=AQ54),BM2:BM33)</f>
        <v>26919.595247999998</v>
      </c>
      <c r="AY54" s="388">
        <f>SUMPRODUCT(--(CN2:CN33=AQ54),AY2:AY33)+SUMPRODUCT(--(CN2:CN33=AQ54),AZ2:AZ33)+SUMPRODUCT(--(CN2:CN33=AQ54),BA2:BA33)</f>
        <v>130228.79999999999</v>
      </c>
      <c r="AZ54" s="388">
        <f>SUMPRODUCT(--(CN2:CN33=AQ54),BN2:BN33)+SUMPRODUCT(--(CN2:CN33=AQ54),BO2:BO33)</f>
        <v>24750</v>
      </c>
      <c r="BA54" s="388">
        <f>SUMPRODUCT(--(CN2:CN33=AQ54),BX2:BX33)+SUMPRODUCT(--(CN2:CN33=AQ54),BY2:BY33)</f>
        <v>25773.581807999995</v>
      </c>
    </row>
    <row r="55" spans="41:53">
      <c r="AP55" t="s">
        <v>333</v>
      </c>
      <c r="AS55" s="399">
        <f t="shared" ref="AS55:BA55" si="49">SUM(AS54:AS54)</f>
        <v>1.8</v>
      </c>
      <c r="AT55" s="399">
        <f t="shared" si="49"/>
        <v>107764.85</v>
      </c>
      <c r="AU55" s="399">
        <f t="shared" si="49"/>
        <v>42005.7</v>
      </c>
      <c r="AV55" s="399">
        <f t="shared" si="49"/>
        <v>130228.79999999999</v>
      </c>
      <c r="AW55" s="399">
        <f t="shared" si="49"/>
        <v>22500</v>
      </c>
      <c r="AX55" s="399">
        <f t="shared" si="49"/>
        <v>26919.595247999998</v>
      </c>
      <c r="AY55" s="399">
        <f t="shared" si="49"/>
        <v>130228.79999999999</v>
      </c>
      <c r="AZ55" s="399">
        <f t="shared" si="49"/>
        <v>24750</v>
      </c>
      <c r="BA55" s="399">
        <f t="shared" si="49"/>
        <v>25773.581807999995</v>
      </c>
    </row>
    <row r="56" spans="41:53">
      <c r="AQ56" t="s">
        <v>323</v>
      </c>
      <c r="AS56" s="388">
        <f>SUM(SUMIFS(AS2:AS33,CN2:CN33,AQ56,E2:E33,"0199",F2:F33,"00",AT2:AT33,{1,3}))</f>
        <v>0.79999999999999993</v>
      </c>
      <c r="AT56" s="388">
        <f>SUMPRODUCT(--(CN2:CN33=AQ56),--(N2:N33&lt;&gt;"NG"),--(AG2:AG33&lt;&gt;"D"),--(AR2:AR33&lt;&gt;6),--(AR2:AR33&lt;&gt;36),--(AR2:AR33&lt;&gt;56),T2:T33)+SUMPRODUCT(--(CN2:CN33=AQ56),--(N2:N33&lt;&gt;"NG"),--(AG2:AG33&lt;&gt;"D"),--(AR2:AR33&lt;&gt;6),--(AR2:AR33&lt;&gt;36),--(AR2:AR33&lt;&gt;56),U2:U33)</f>
        <v>88668.170000000013</v>
      </c>
      <c r="AU56" s="388">
        <f>SUMPRODUCT(--(CN2:CN33=AQ56),--(N2:N33&lt;&gt;"NG"),--(AG2:AG33&lt;&gt;"D"),--(AR2:AR33&lt;&gt;6),--(AR2:AR33&lt;&gt;36),--(AR2:AR33&lt;&gt;56),V2:V33)</f>
        <v>27755.530000000002</v>
      </c>
      <c r="AV56" s="388">
        <f>SUMPRODUCT(--(CN2:CN33=AQ56),AY2:AY33)+SUMPRODUCT(--(CN2:CN33=AQ56),AZ2:AZ33)</f>
        <v>99453.119999999995</v>
      </c>
      <c r="AW56" s="388">
        <f>SUMPRODUCT(--(CN2:CN33=AQ56),BB2:BB33)+SUMPRODUCT(--(CN2:CN33=AQ56),BC2:BC33)</f>
        <v>10000</v>
      </c>
      <c r="AX56" s="388">
        <f>SUMPRODUCT(--(CN2:CN33=AQ56),BL2:BL33)+SUMPRODUCT(--(CN2:CN33=AQ56),BM2:BM33)</f>
        <v>20557.954435200001</v>
      </c>
      <c r="AY56" s="388">
        <f>SUMPRODUCT(--(CN2:CN33=AQ56),AY2:AY33)+SUMPRODUCT(--(CN2:CN33=AQ56),AZ2:AZ33)+SUMPRODUCT(--(CN2:CN33=AQ56),BA2:BA33)</f>
        <v>99453.119999999995</v>
      </c>
      <c r="AZ56" s="388">
        <f>SUMPRODUCT(--(CN2:CN33=AQ56),BN2:BN33)+SUMPRODUCT(--(CN2:CN33=AQ56),BO2:BO33)</f>
        <v>11000</v>
      </c>
      <c r="BA56" s="388">
        <f>SUMPRODUCT(--(CN2:CN33=AQ56),BX2:BX33)+SUMPRODUCT(--(CN2:CN33=AQ56),BY2:BY33)</f>
        <v>19682.766979200002</v>
      </c>
    </row>
    <row r="57" spans="41:53">
      <c r="AP57" t="s">
        <v>334</v>
      </c>
      <c r="AS57" s="399">
        <f t="shared" ref="AS57:BA57" si="50">SUM(AS56:AS56)</f>
        <v>0.79999999999999993</v>
      </c>
      <c r="AT57" s="399">
        <f t="shared" si="50"/>
        <v>88668.170000000013</v>
      </c>
      <c r="AU57" s="399">
        <f t="shared" si="50"/>
        <v>27755.530000000002</v>
      </c>
      <c r="AV57" s="399">
        <f t="shared" si="50"/>
        <v>99453.119999999995</v>
      </c>
      <c r="AW57" s="399">
        <f t="shared" si="50"/>
        <v>10000</v>
      </c>
      <c r="AX57" s="399">
        <f t="shared" si="50"/>
        <v>20557.954435200001</v>
      </c>
      <c r="AY57" s="399">
        <f t="shared" si="50"/>
        <v>99453.119999999995</v>
      </c>
      <c r="AZ57" s="399">
        <f t="shared" si="50"/>
        <v>11000</v>
      </c>
      <c r="BA57" s="399">
        <f t="shared" si="50"/>
        <v>19682.766979200002</v>
      </c>
    </row>
    <row r="58" spans="41:53">
      <c r="AQ58" t="s">
        <v>304</v>
      </c>
      <c r="AS58" s="388">
        <f>SUM(SUMIFS(AS2:AS33,CN2:CN33,AQ58,E2:E33,"0348",F2:F33,"00",AT2:AT33,{1,3}))</f>
        <v>5.9</v>
      </c>
      <c r="AT58" s="388">
        <f>SUMPRODUCT(--(CN2:CN33=AQ58),--(N2:N33&lt;&gt;"NG"),--(AG2:AG33&lt;&gt;"D"),--(AR2:AR33&lt;&gt;6),--(AR2:AR33&lt;&gt;36),--(AR2:AR33&lt;&gt;56),T2:T33)+SUMPRODUCT(--(CN2:CN33=AQ58),--(N2:N33&lt;&gt;"NG"),--(AG2:AG33&lt;&gt;"D"),--(AR2:AR33&lt;&gt;6),--(AR2:AR33&lt;&gt;36),--(AR2:AR33&lt;&gt;56),U2:U33)</f>
        <v>207697.22999999998</v>
      </c>
      <c r="AU58" s="388">
        <f>SUMPRODUCT(--(CN2:CN33=AQ58),--(N2:N33&lt;&gt;"NG"),--(AG2:AG33&lt;&gt;"D"),--(AR2:AR33&lt;&gt;6),--(AR2:AR33&lt;&gt;36),--(AR2:AR33&lt;&gt;56),V2:V33)</f>
        <v>85324.25</v>
      </c>
      <c r="AV58" s="388">
        <f>SUMPRODUCT(--(CN2:CN33=AQ58),AY2:AY33)+SUMPRODUCT(--(CN2:CN33=AQ58),AZ2:AZ33)</f>
        <v>377241.28</v>
      </c>
      <c r="AW58" s="388">
        <f>SUMPRODUCT(--(CN2:CN33=AQ58),BB2:BB33)+SUMPRODUCT(--(CN2:CN33=AQ58),BC2:BC33)</f>
        <v>73750</v>
      </c>
      <c r="AX58" s="388">
        <f>SUMPRODUCT(--(CN2:CN33=AQ58),BL2:BL33)+SUMPRODUCT(--(CN2:CN33=AQ58),BM2:BM33)</f>
        <v>77979.544988800015</v>
      </c>
      <c r="AY58" s="388">
        <f>SUMPRODUCT(--(CN2:CN33=AQ58),AY2:AY33)+SUMPRODUCT(--(CN2:CN33=AQ58),AZ2:AZ33)+SUMPRODUCT(--(CN2:CN33=AQ58),BA2:BA33)</f>
        <v>377241.28</v>
      </c>
      <c r="AZ58" s="388">
        <f>SUMPRODUCT(--(CN2:CN33=AQ58),BN2:BN33)+SUMPRODUCT(--(CN2:CN33=AQ58),BO2:BO33)</f>
        <v>81125</v>
      </c>
      <c r="BA58" s="388">
        <f>SUMPRODUCT(--(CN2:CN33=AQ58),BX2:BX33)+SUMPRODUCT(--(CN2:CN33=AQ58),BY2:BY33)</f>
        <v>74659.821724799986</v>
      </c>
    </row>
    <row r="59" spans="41:53">
      <c r="AP59" t="s">
        <v>335</v>
      </c>
      <c r="AS59" s="399">
        <f t="shared" ref="AS59:BA59" si="51">SUM(AS58:AS58)</f>
        <v>5.9</v>
      </c>
      <c r="AT59" s="399">
        <f t="shared" si="51"/>
        <v>207697.22999999998</v>
      </c>
      <c r="AU59" s="399">
        <f t="shared" si="51"/>
        <v>85324.25</v>
      </c>
      <c r="AV59" s="399">
        <f t="shared" si="51"/>
        <v>377241.28</v>
      </c>
      <c r="AW59" s="399">
        <f t="shared" si="51"/>
        <v>73750</v>
      </c>
      <c r="AX59" s="399">
        <f t="shared" si="51"/>
        <v>77979.544988800015</v>
      </c>
      <c r="AY59" s="399">
        <f t="shared" si="51"/>
        <v>377241.28</v>
      </c>
      <c r="AZ59" s="399">
        <f t="shared" si="51"/>
        <v>81125</v>
      </c>
      <c r="BA59" s="399">
        <f t="shared" si="51"/>
        <v>74659.821724799986</v>
      </c>
    </row>
    <row r="60" spans="41:53">
      <c r="AQ60" t="s">
        <v>336</v>
      </c>
      <c r="AS60" s="388">
        <f>SUM(SUMIFS(AS2:AS33,CN2:CN33,AQ60,E2:E33,"0494",F2:F33,"03",AT2:AT33,{1,3}))</f>
        <v>0.5</v>
      </c>
      <c r="AT60" s="388">
        <f>SUMPRODUCT(--(CN2:CN33=AQ60),--(N2:N33&lt;&gt;"NG"),--(AG2:AG33&lt;&gt;"D"),--(AR2:AR33&lt;&gt;6),--(AR2:AR33&lt;&gt;36),--(AR2:AR33&lt;&gt;56),T2:T33)+SUMPRODUCT(--(CN2:CN33=AQ60),--(N2:N33&lt;&gt;"NG"),--(AG2:AG33&lt;&gt;"D"),--(AR2:AR33&lt;&gt;6),--(AR2:AR33&lt;&gt;36),--(AR2:AR33&lt;&gt;56),U2:U33)</f>
        <v>54947.240000000005</v>
      </c>
      <c r="AU60" s="388">
        <f>SUMPRODUCT(--(CN2:CN33=AQ60),--(N2:N33&lt;&gt;"NG"),--(AG2:AG33&lt;&gt;"D"),--(AR2:AR33&lt;&gt;6),--(AR2:AR33&lt;&gt;36),--(AR2:AR33&lt;&gt;56),V2:V33)</f>
        <v>22765.520000000004</v>
      </c>
      <c r="AV60" s="388">
        <f>SUMPRODUCT(--(CN2:CN33=AQ60),AY2:AY33)+SUMPRODUCT(--(CN2:CN33=AQ60),AZ2:AZ33)</f>
        <v>36649.599999999999</v>
      </c>
      <c r="AW60" s="388">
        <f>SUMPRODUCT(--(CN2:CN33=AQ60),BB2:BB33)+SUMPRODUCT(--(CN2:CN33=AQ60),BC2:BC33)</f>
        <v>6250</v>
      </c>
      <c r="AX60" s="388">
        <f>SUMPRODUCT(--(CN2:CN33=AQ60),BL2:BL33)+SUMPRODUCT(--(CN2:CN33=AQ60),BM2:BM33)</f>
        <v>7575.8388159999995</v>
      </c>
      <c r="AY60" s="388">
        <f>SUMPRODUCT(--(CN2:CN33=AQ60),AY2:AY33)+SUMPRODUCT(--(CN2:CN33=AQ60),AZ2:AZ33)+SUMPRODUCT(--(CN2:CN33=AQ60),BA2:BA33)</f>
        <v>36649.599999999999</v>
      </c>
      <c r="AZ60" s="388">
        <f>SUMPRODUCT(--(CN2:CN33=AQ60),BN2:BN33)+SUMPRODUCT(--(CN2:CN33=AQ60),BO2:BO33)</f>
        <v>6875</v>
      </c>
      <c r="BA60" s="388">
        <f>SUMPRODUCT(--(CN2:CN33=AQ60),BX2:BX33)+SUMPRODUCT(--(CN2:CN33=AQ60),BY2:BY33)</f>
        <v>7253.3223359999993</v>
      </c>
    </row>
    <row r="61" spans="41:53">
      <c r="AP61" t="s">
        <v>337</v>
      </c>
      <c r="AS61" s="399">
        <f t="shared" ref="AS61:BA61" si="52">SUM(AS60:AS60)</f>
        <v>0.5</v>
      </c>
      <c r="AT61" s="399">
        <f t="shared" si="52"/>
        <v>54947.240000000005</v>
      </c>
      <c r="AU61" s="399">
        <f t="shared" si="52"/>
        <v>22765.520000000004</v>
      </c>
      <c r="AV61" s="399">
        <f t="shared" si="52"/>
        <v>36649.599999999999</v>
      </c>
      <c r="AW61" s="399">
        <f t="shared" si="52"/>
        <v>6250</v>
      </c>
      <c r="AX61" s="399">
        <f t="shared" si="52"/>
        <v>7575.8388159999995</v>
      </c>
      <c r="AY61" s="399">
        <f t="shared" si="52"/>
        <v>36649.599999999999</v>
      </c>
      <c r="AZ61" s="399">
        <f t="shared" si="52"/>
        <v>6875</v>
      </c>
      <c r="BA61" s="399">
        <f t="shared" si="52"/>
        <v>7253.3223359999993</v>
      </c>
    </row>
    <row r="62" spans="41:53">
      <c r="AS62" s="388"/>
      <c r="AT62" s="388"/>
      <c r="AU62" s="388"/>
      <c r="AV62" s="388"/>
      <c r="AW62" s="388"/>
      <c r="AX62" s="388"/>
      <c r="AY62" s="388"/>
      <c r="AZ62" s="388"/>
      <c r="BA62" s="388"/>
    </row>
    <row r="63" spans="41:53">
      <c r="AO63" s="397" t="s">
        <v>338</v>
      </c>
      <c r="AS63" s="400">
        <f t="shared" ref="AS63:BA63" si="53">SUM(AS55,AS57,AS59,AS61)</f>
        <v>9</v>
      </c>
      <c r="AT63" s="400">
        <f t="shared" si="53"/>
        <v>459077.49</v>
      </c>
      <c r="AU63" s="400">
        <f t="shared" si="53"/>
        <v>177851</v>
      </c>
      <c r="AV63" s="400">
        <f t="shared" si="53"/>
        <v>643572.79999999993</v>
      </c>
      <c r="AW63" s="400">
        <f t="shared" si="53"/>
        <v>112500</v>
      </c>
      <c r="AX63" s="400">
        <f t="shared" si="53"/>
        <v>133032.93348800001</v>
      </c>
      <c r="AY63" s="400">
        <f t="shared" si="53"/>
        <v>643572.79999999993</v>
      </c>
      <c r="AZ63" s="400">
        <f t="shared" si="53"/>
        <v>123750</v>
      </c>
      <c r="BA63" s="400">
        <f t="shared" si="53"/>
        <v>127369.49284799998</v>
      </c>
    </row>
    <row r="64" spans="41:53">
      <c r="AS64" s="388"/>
      <c r="AT64" s="388"/>
      <c r="AU64" s="388"/>
      <c r="AV64" s="388"/>
      <c r="AW64" s="388"/>
      <c r="AX64" s="388"/>
      <c r="AY64" s="388"/>
      <c r="AZ64" s="388"/>
      <c r="BA64" s="388"/>
    </row>
    <row r="65" spans="41:116">
      <c r="AO65" s="393" t="s">
        <v>339</v>
      </c>
      <c r="AS65" s="388"/>
      <c r="AT65" s="388"/>
      <c r="AU65" s="388"/>
      <c r="AV65" s="388"/>
      <c r="AW65" s="388"/>
      <c r="AX65" s="388"/>
      <c r="AY65" s="388"/>
      <c r="AZ65" s="388"/>
      <c r="BA65" s="388"/>
    </row>
    <row r="66" spans="41:116">
      <c r="AQ66" t="s">
        <v>304</v>
      </c>
      <c r="AS66" s="388"/>
      <c r="AT66" s="388">
        <f>SUMIF(CN2:CN33,AQ66,CL2:CL33)</f>
        <v>5152</v>
      </c>
      <c r="AU66" s="388">
        <f>SUMIF(CN2:CN33,AQ66,CM2:CM33)</f>
        <v>3494.18</v>
      </c>
      <c r="AV66" s="388">
        <f>SUMIF(CN2:CN33,AQ66,CL2:CL33)</f>
        <v>5152</v>
      </c>
      <c r="AW66" s="388">
        <v>0</v>
      </c>
      <c r="AX66" s="388">
        <f>SUMIF(CN2:CN33,AQ66,CM2:CM33)</f>
        <v>3494.18</v>
      </c>
      <c r="AY66" s="388">
        <f>SUMIF(CN2:CN33,AQ66,CL2:CL33)</f>
        <v>5152</v>
      </c>
      <c r="AZ66" s="388">
        <v>0</v>
      </c>
      <c r="BA66" s="388">
        <f>SUMIF(CN2:CN33,AQ66,CM2:CM33)</f>
        <v>3494.18</v>
      </c>
    </row>
    <row r="67" spans="41:116">
      <c r="AP67" t="s">
        <v>335</v>
      </c>
      <c r="AS67" s="399"/>
      <c r="AT67" s="399">
        <f t="shared" ref="AT67:BA67" si="54">SUM(AT66:AT66)</f>
        <v>5152</v>
      </c>
      <c r="AU67" s="399">
        <f t="shared" si="54"/>
        <v>3494.18</v>
      </c>
      <c r="AV67" s="399">
        <f t="shared" si="54"/>
        <v>5152</v>
      </c>
      <c r="AW67" s="399">
        <f t="shared" si="54"/>
        <v>0</v>
      </c>
      <c r="AX67" s="399">
        <f t="shared" si="54"/>
        <v>3494.18</v>
      </c>
      <c r="AY67" s="399">
        <f t="shared" si="54"/>
        <v>5152</v>
      </c>
      <c r="AZ67" s="399">
        <f t="shared" si="54"/>
        <v>0</v>
      </c>
      <c r="BA67" s="399">
        <f t="shared" si="54"/>
        <v>3494.18</v>
      </c>
    </row>
    <row r="68" spans="41:116">
      <c r="AQ68" t="s">
        <v>336</v>
      </c>
      <c r="AS68" s="388"/>
      <c r="AT68" s="388">
        <f>SUMIF(CN2:CN33,AQ68,CL2:CL33)</f>
        <v>10028</v>
      </c>
      <c r="AU68" s="388">
        <f>SUMIF(CN2:CN33,AQ68,CM2:CM33)</f>
        <v>4120.7299999999996</v>
      </c>
      <c r="AV68" s="388">
        <f>SUMIF(CN2:CN33,AQ68,CL2:CL33)</f>
        <v>10028</v>
      </c>
      <c r="AW68" s="388">
        <v>0</v>
      </c>
      <c r="AX68" s="388">
        <f>SUMIF(CN2:CN33,AQ68,CM2:CM33)</f>
        <v>4120.7299999999996</v>
      </c>
      <c r="AY68" s="388">
        <f>SUMIF(CN2:CN33,AQ68,CL2:CL33)</f>
        <v>10028</v>
      </c>
      <c r="AZ68" s="388">
        <v>0</v>
      </c>
      <c r="BA68" s="388">
        <f>SUMIF(CN2:CN33,AQ68,CM2:CM33)</f>
        <v>4120.7299999999996</v>
      </c>
    </row>
    <row r="69" spans="41:116">
      <c r="AP69" t="s">
        <v>337</v>
      </c>
      <c r="AS69" s="399"/>
      <c r="AT69" s="399">
        <f t="shared" ref="AT69:BA69" si="55">SUM(AT68:AT68)</f>
        <v>10028</v>
      </c>
      <c r="AU69" s="399">
        <f t="shared" si="55"/>
        <v>4120.7299999999996</v>
      </c>
      <c r="AV69" s="399">
        <f t="shared" si="55"/>
        <v>10028</v>
      </c>
      <c r="AW69" s="399">
        <f t="shared" si="55"/>
        <v>0</v>
      </c>
      <c r="AX69" s="399">
        <f t="shared" si="55"/>
        <v>4120.7299999999996</v>
      </c>
      <c r="AY69" s="399">
        <f t="shared" si="55"/>
        <v>10028</v>
      </c>
      <c r="AZ69" s="399">
        <f t="shared" si="55"/>
        <v>0</v>
      </c>
      <c r="BA69" s="399">
        <f t="shared" si="55"/>
        <v>4120.7299999999996</v>
      </c>
    </row>
    <row r="70" spans="41:116">
      <c r="AS70" s="388"/>
      <c r="AT70" s="388"/>
      <c r="AU70" s="388"/>
      <c r="AV70" s="388"/>
      <c r="AW70" s="388"/>
      <c r="AX70" s="388"/>
      <c r="AY70" s="388"/>
      <c r="AZ70" s="388"/>
      <c r="BA70" s="388"/>
    </row>
    <row r="71" spans="41:116">
      <c r="AO71" s="397" t="s">
        <v>340</v>
      </c>
      <c r="AS71" s="400">
        <f t="shared" ref="AS71:BA71" si="56">SUM(AS67,AS69)</f>
        <v>0</v>
      </c>
      <c r="AT71" s="400">
        <f t="shared" si="56"/>
        <v>15180</v>
      </c>
      <c r="AU71" s="400">
        <f t="shared" si="56"/>
        <v>7614.91</v>
      </c>
      <c r="AV71" s="400">
        <f t="shared" si="56"/>
        <v>15180</v>
      </c>
      <c r="AW71" s="400">
        <f t="shared" si="56"/>
        <v>0</v>
      </c>
      <c r="AX71" s="400">
        <f t="shared" si="56"/>
        <v>7614.91</v>
      </c>
      <c r="AY71" s="400">
        <f t="shared" si="56"/>
        <v>15180</v>
      </c>
      <c r="AZ71" s="400">
        <f t="shared" si="56"/>
        <v>0</v>
      </c>
      <c r="BA71" s="400">
        <f t="shared" si="56"/>
        <v>7614.91</v>
      </c>
      <c r="DD71" s="393"/>
      <c r="DL71" s="393"/>
    </row>
    <row r="72" spans="41:116">
      <c r="AS72" s="388"/>
      <c r="AT72" s="388"/>
      <c r="AU72" s="388"/>
      <c r="AV72" s="388"/>
      <c r="AW72" s="388"/>
      <c r="AX72" s="388"/>
      <c r="AY72" s="388"/>
      <c r="AZ72" s="388"/>
      <c r="BA72" s="388"/>
    </row>
    <row r="73" spans="41:116">
      <c r="AO73" s="398" t="s">
        <v>341</v>
      </c>
      <c r="AS73" s="401">
        <f t="shared" ref="AS73:BA73" si="57">SUM(AS63,AS71)</f>
        <v>9</v>
      </c>
      <c r="AT73" s="402">
        <f t="shared" si="57"/>
        <v>474257.49</v>
      </c>
      <c r="AU73" s="402">
        <f t="shared" si="57"/>
        <v>185465.91</v>
      </c>
      <c r="AV73" s="402">
        <f t="shared" si="57"/>
        <v>658752.79999999993</v>
      </c>
      <c r="AW73" s="402">
        <f t="shared" si="57"/>
        <v>112500</v>
      </c>
      <c r="AX73" s="402">
        <f t="shared" si="57"/>
        <v>140647.84348800001</v>
      </c>
      <c r="AY73" s="402">
        <f t="shared" si="57"/>
        <v>658752.79999999993</v>
      </c>
      <c r="AZ73" s="402">
        <f t="shared" si="57"/>
        <v>123750</v>
      </c>
      <c r="BA73" s="402">
        <f t="shared" si="57"/>
        <v>134984.40284799997</v>
      </c>
    </row>
  </sheetData>
  <mergeCells count="5">
    <mergeCell ref="AT51:AU51"/>
    <mergeCell ref="AV51:AV52"/>
    <mergeCell ref="AW51:AX51"/>
    <mergeCell ref="AY51:AY52"/>
    <mergeCell ref="AZ51:BA5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E11" sqref="E11"/>
    </sheetView>
  </sheetViews>
  <sheetFormatPr defaultColWidth="9.140625" defaultRowHeight="19.5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>
      <c r="A1" s="481"/>
      <c r="B1" s="481"/>
      <c r="C1" s="481"/>
      <c r="D1" s="481"/>
      <c r="E1" s="481"/>
    </row>
    <row r="2" spans="1:15" ht="28.5" customHeight="1">
      <c r="A2" s="2" t="s">
        <v>10</v>
      </c>
      <c r="B2" s="2"/>
      <c r="C2" s="2"/>
      <c r="D2" s="2"/>
      <c r="E2" s="2"/>
    </row>
    <row r="3" spans="1:15">
      <c r="A3" s="3"/>
      <c r="B3" s="3"/>
      <c r="C3" s="4" t="s">
        <v>0</v>
      </c>
      <c r="D3" s="4" t="s">
        <v>1</v>
      </c>
      <c r="E3" s="3"/>
    </row>
    <row r="4" spans="1:15" ht="39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>
      <c r="A8" s="3"/>
      <c r="B8" s="130" t="s">
        <v>5</v>
      </c>
      <c r="C8" s="235">
        <v>3.5999999999999999E-3</v>
      </c>
      <c r="D8" s="234">
        <v>2.3999999999999998E-3</v>
      </c>
      <c r="E8" s="314">
        <f t="shared" si="0"/>
        <v>-1.2000000000000001E-3</v>
      </c>
    </row>
    <row r="9" spans="1:1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>
      <c r="A12" s="3"/>
      <c r="B12" s="233" t="s">
        <v>11</v>
      </c>
      <c r="C12" s="234">
        <f>SUM(C5:C11)</f>
        <v>8.7309999999999999E-2</v>
      </c>
      <c r="D12" s="234">
        <f>SUM(D5:D11)</f>
        <v>8.6109999999999992E-2</v>
      </c>
      <c r="E12" s="315">
        <f>D12-C12</f>
        <v>-1.2000000000000066E-3</v>
      </c>
      <c r="M12" s="320"/>
    </row>
    <row r="13" spans="1:15">
      <c r="A13" s="3"/>
      <c r="B13" s="231" t="s">
        <v>9</v>
      </c>
      <c r="C13" s="226">
        <f>SUM(C5:C8)</f>
        <v>8.0100000000000005E-2</v>
      </c>
      <c r="D13" s="226">
        <f>SUM(D5:D8)</f>
        <v>7.8899999999999998E-2</v>
      </c>
      <c r="E13" s="313">
        <f t="shared" si="0"/>
        <v>-1.2000000000000066E-3</v>
      </c>
      <c r="F13" s="8"/>
    </row>
    <row r="14" spans="1:15">
      <c r="A14" s="230"/>
      <c r="B14" s="232" t="s">
        <v>100</v>
      </c>
      <c r="C14" s="226">
        <f>SUM(C5:C6,C8:C9)</f>
        <v>8.7309999999999999E-2</v>
      </c>
      <c r="D14" s="226">
        <f>SUM(D5:D6,D8:D9)</f>
        <v>8.6109999999999992E-2</v>
      </c>
      <c r="E14" s="313">
        <f>D14-C14</f>
        <v>-1.2000000000000066E-3</v>
      </c>
      <c r="M14" s="320"/>
    </row>
    <row r="15" spans="1:15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>
      <c r="B17" s="130"/>
      <c r="D17" s="1" t="s">
        <v>45</v>
      </c>
      <c r="K17" s="319"/>
    </row>
    <row r="18" spans="1:11" ht="12" customHeight="1">
      <c r="C18" s="1" t="s">
        <v>45</v>
      </c>
    </row>
    <row r="19" spans="1:11" ht="39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>
      <c r="A28" s="482" t="s">
        <v>108</v>
      </c>
      <c r="B28" s="482"/>
      <c r="C28" s="482"/>
      <c r="D28" s="482"/>
      <c r="E28" s="482"/>
    </row>
    <row r="29" spans="1:11">
      <c r="A29" s="482" t="s">
        <v>109</v>
      </c>
      <c r="B29" s="482"/>
      <c r="C29" s="482"/>
      <c r="D29" s="482"/>
      <c r="E29" s="482"/>
    </row>
    <row r="30" spans="1:11" ht="12.75" customHeight="1">
      <c r="A30" s="247"/>
      <c r="B30" s="247"/>
      <c r="C30" s="247"/>
      <c r="D30" s="247"/>
      <c r="E30" s="247"/>
    </row>
    <row r="31" spans="1:11">
      <c r="A31" s="316" t="s">
        <v>86</v>
      </c>
      <c r="B31" s="316"/>
      <c r="C31" s="247"/>
      <c r="D31" s="247"/>
      <c r="E31" s="247"/>
    </row>
    <row r="32" spans="1:11">
      <c r="A32" s="316"/>
      <c r="B32" s="316" t="s">
        <v>87</v>
      </c>
      <c r="C32" s="247"/>
      <c r="D32" s="247"/>
      <c r="E32" s="247"/>
    </row>
    <row r="33" spans="1:5">
      <c r="A33" s="316"/>
      <c r="B33" s="316" t="s">
        <v>88</v>
      </c>
      <c r="C33" s="247"/>
      <c r="D33" s="247"/>
      <c r="E33" s="247"/>
    </row>
    <row r="34" spans="1:5">
      <c r="A34" s="316"/>
      <c r="B34" s="316" t="s">
        <v>89</v>
      </c>
      <c r="C34" s="247"/>
      <c r="D34" s="247"/>
      <c r="E34" s="247"/>
    </row>
    <row r="35" spans="1:5">
      <c r="A35" s="316"/>
      <c r="B35" s="316" t="s">
        <v>90</v>
      </c>
      <c r="C35" s="247"/>
      <c r="D35" s="247"/>
      <c r="E35" s="247"/>
    </row>
    <row r="36" spans="1:5">
      <c r="A36" s="316"/>
      <c r="B36" s="316" t="s">
        <v>91</v>
      </c>
      <c r="C36" s="247"/>
      <c r="D36" s="247"/>
      <c r="E36" s="247"/>
    </row>
    <row r="38" spans="1:5">
      <c r="B38" s="317" t="s">
        <v>101</v>
      </c>
      <c r="C38" s="318">
        <v>0.01</v>
      </c>
    </row>
    <row r="39" spans="1:5">
      <c r="B39" s="341" t="s">
        <v>102</v>
      </c>
      <c r="C39" s="340">
        <v>0.01</v>
      </c>
    </row>
    <row r="40" spans="1:5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8"/>
      <c r="N1" s="409"/>
      <c r="AA1" s="337"/>
      <c r="AB1" s="333"/>
      <c r="AC1" s="333"/>
      <c r="AD1" s="325"/>
    </row>
    <row r="2" spans="1:94" ht="2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10"/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8"/>
      <c r="N3" s="409"/>
      <c r="AA3" s="337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37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/>
      <c r="J5" s="412"/>
      <c r="K5" s="412"/>
      <c r="L5" s="411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256" t="s">
        <v>21</v>
      </c>
      <c r="C8" s="413" t="s">
        <v>22</v>
      </c>
      <c r="D8" s="414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ht="1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2" priority="8">
      <formula>$J$44&lt;0</formula>
    </cfRule>
  </conditionalFormatting>
  <conditionalFormatting sqref="K43">
    <cfRule type="expression" dxfId="11" priority="7">
      <formula>$J$43&lt;0</formula>
    </cfRule>
  </conditionalFormatting>
  <conditionalFormatting sqref="L16">
    <cfRule type="expression" dxfId="10" priority="6">
      <formula>$J$16&lt;0</formula>
    </cfRule>
  </conditionalFormatting>
  <conditionalFormatting sqref="K45">
    <cfRule type="expression" dxfId="9" priority="5">
      <formula>$J$44&lt;0</formula>
    </cfRule>
  </conditionalFormatting>
  <conditionalFormatting sqref="K43:N45">
    <cfRule type="containsText" dxfId="8" priority="4" operator="containsText" text="underfunding">
      <formula>NOT(ISERROR(SEARCH("underfunding",K43)))</formula>
    </cfRule>
  </conditionalFormatting>
  <conditionalFormatting sqref="K44">
    <cfRule type="expression" dxfId="7" priority="3">
      <formula>$J$44&lt;0</formula>
    </cfRule>
  </conditionalFormatting>
  <conditionalFormatting sqref="K45">
    <cfRule type="expression" dxfId="6" priority="2">
      <formula>$J$44&lt;0</formula>
    </cfRule>
  </conditionalFormatting>
  <conditionalFormatting sqref="K45">
    <cfRule type="expression" dxfId="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54"/>
  <sheetViews>
    <sheetView workbookViewId="0">
      <selection activeCell="A46" sqref="A46:L54"/>
    </sheetView>
  </sheetViews>
  <sheetFormatPr defaultRowHeight="1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>
      <c r="A1" s="396" t="s">
        <v>300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>
      <c r="A2" s="413" t="s">
        <v>22</v>
      </c>
      <c r="B2" s="414"/>
      <c r="C2" s="371" t="s">
        <v>23</v>
      </c>
      <c r="D2" s="49" t="s">
        <v>24</v>
      </c>
      <c r="E2" s="50" t="str">
        <f>"FY "&amp;'GVEA|0125-00'!FiscalYear-1&amp;" SALARY"</f>
        <v>FY 2023 SALARY</v>
      </c>
      <c r="F2" s="50" t="str">
        <f>"FY "&amp;'GVEA|0125-00'!FiscalYear-1&amp;" HEALTH BENEFITS"</f>
        <v>FY 2023 HEALTH BENEFITS</v>
      </c>
      <c r="G2" s="50" t="str">
        <f>"FY "&amp;'GVEA|0125-00'!FiscalYear-1&amp;" VAR BENEFITS"</f>
        <v>FY 2023 VAR BENEFITS</v>
      </c>
      <c r="H2" s="50" t="str">
        <f>"FY "&amp;'GVEA|0125-00'!FiscalYear-1&amp;" TOTAL"</f>
        <v>FY 2023 TOTAL</v>
      </c>
      <c r="I2" s="50" t="str">
        <f>"FY "&amp;'GVEA|0125-00'!FiscalYear&amp;" SALARY CHANGE"</f>
        <v>FY 2024 SALARY CHANGE</v>
      </c>
      <c r="J2" s="50" t="str">
        <f>"FY "&amp;'GVEA|0125-00'!FiscalYear&amp;" CHG HEALTH BENEFITS"</f>
        <v>FY 2024 CHG HEALTH BENEFITS</v>
      </c>
      <c r="K2" s="50" t="str">
        <f>"FY "&amp;'GVEA|0125-00'!FiscalYear&amp;" CHG VAR BENEFITS"</f>
        <v>FY 2024 CHG VAR BENEFITS</v>
      </c>
      <c r="L2" s="50" t="s">
        <v>25</v>
      </c>
    </row>
    <row r="3" spans="1:12">
      <c r="A3" s="416" t="s">
        <v>26</v>
      </c>
      <c r="B3" s="417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>
      <c r="A4" s="406" t="s">
        <v>27</v>
      </c>
      <c r="B4" s="407"/>
      <c r="C4" s="217">
        <v>1</v>
      </c>
      <c r="D4" s="288">
        <f>[0]!GVEA012500col_INC_FTI</f>
        <v>1.8</v>
      </c>
      <c r="E4" s="218">
        <f>[0]!GVEA012500col_FTI_SALARY_PERM</f>
        <v>130228.79999999999</v>
      </c>
      <c r="F4" s="218">
        <f>[0]!GVEA012500col_HEALTH_PERM</f>
        <v>22500</v>
      </c>
      <c r="G4" s="218">
        <f>[0]!GVEA012500col_TOT_VB_PERM</f>
        <v>26919.595247999998</v>
      </c>
      <c r="H4" s="219">
        <f>SUM(E4:G4)</f>
        <v>179648.39524799999</v>
      </c>
      <c r="I4" s="219">
        <f>[0]!GVEA012500col_1_27TH_PP</f>
        <v>0</v>
      </c>
      <c r="J4" s="218">
        <f>[0]!GVEA012500col_HEALTH_PERM_CHG</f>
        <v>2250</v>
      </c>
      <c r="K4" s="218">
        <f>[0]!GVEA012500col_TOT_VB_PERM_CHG</f>
        <v>-1146.0134400000011</v>
      </c>
      <c r="L4" s="218">
        <f>SUM(J4:K4)</f>
        <v>1103.9865599999989</v>
      </c>
    </row>
    <row r="5" spans="1:12">
      <c r="A5" s="406" t="s">
        <v>28</v>
      </c>
      <c r="B5" s="407"/>
      <c r="C5" s="217">
        <v>2</v>
      </c>
      <c r="D5" s="288"/>
      <c r="E5" s="218">
        <f>[0]!GVEA012500col_Group_Salary</f>
        <v>0</v>
      </c>
      <c r="F5" s="218">
        <v>0</v>
      </c>
      <c r="G5" s="218">
        <f>[0]!GVEA012500col_Group_Ben</f>
        <v>0</v>
      </c>
      <c r="H5" s="219">
        <f>SUM(E5:G5)</f>
        <v>0</v>
      </c>
      <c r="I5" s="268"/>
      <c r="J5" s="218"/>
      <c r="K5" s="218"/>
      <c r="L5" s="218"/>
    </row>
    <row r="6" spans="1:12">
      <c r="A6" s="406" t="s">
        <v>29</v>
      </c>
      <c r="B6" s="418"/>
      <c r="C6" s="217">
        <v>3</v>
      </c>
      <c r="D6" s="288">
        <f>[0]!GVEA012500col_TOTAL_ELECT_PCN_FTI</f>
        <v>0</v>
      </c>
      <c r="E6" s="218">
        <f>[0]!GVEA012500col_FTI_SALARY_ELECT</f>
        <v>0</v>
      </c>
      <c r="F6" s="218">
        <f>[0]!GVEA012500col_HEALTH_ELECT</f>
        <v>0</v>
      </c>
      <c r="G6" s="218">
        <f>[0]!GVEA012500col_TOT_VB_ELECT</f>
        <v>0</v>
      </c>
      <c r="H6" s="219">
        <f>SUM(E6:G6)</f>
        <v>0</v>
      </c>
      <c r="I6" s="268"/>
      <c r="J6" s="218">
        <f>[0]!GVEA012500col_HEALTH_ELECT_CHG</f>
        <v>0</v>
      </c>
      <c r="K6" s="218">
        <f>[0]!GVEA012500col_TOT_VB_ELECT_CHG</f>
        <v>0</v>
      </c>
      <c r="L6" s="219">
        <f>SUM(J6:K6)</f>
        <v>0</v>
      </c>
    </row>
    <row r="7" spans="1:12">
      <c r="A7" s="406" t="s">
        <v>30</v>
      </c>
      <c r="B7" s="407"/>
      <c r="C7" s="217"/>
      <c r="D7" s="220">
        <f>SUM(D4:D6)</f>
        <v>1.8</v>
      </c>
      <c r="E7" s="221">
        <f>SUM(E4:E6)</f>
        <v>130228.79999999999</v>
      </c>
      <c r="F7" s="221">
        <f>SUM(F4:F6)</f>
        <v>22500</v>
      </c>
      <c r="G7" s="221">
        <f>SUM(G4:G6)</f>
        <v>26919.595247999998</v>
      </c>
      <c r="H7" s="219">
        <f>SUM(E7:G7)</f>
        <v>179648.39524799999</v>
      </c>
      <c r="I7" s="268"/>
      <c r="J7" s="219">
        <f>SUM(J4:J6)</f>
        <v>2250</v>
      </c>
      <c r="K7" s="219">
        <f>SUM(K4:K6)</f>
        <v>-1146.0134400000011</v>
      </c>
      <c r="L7" s="219">
        <f>SUM(L4:L6)</f>
        <v>1103.9865599999989</v>
      </c>
    </row>
    <row r="8" spans="1:12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>
      <c r="A9" s="157" t="str">
        <f>"FY "&amp;'GVEA|0125-00'!FiscalYear-1</f>
        <v>FY 2023</v>
      </c>
      <c r="B9" s="158" t="s">
        <v>31</v>
      </c>
      <c r="C9" s="355">
        <v>215600</v>
      </c>
      <c r="D9" s="55">
        <v>1.55</v>
      </c>
      <c r="E9" s="223">
        <f>IF('GVEA|0125-00'!OrigApprop=0,0,(E7/H7)*'GVEA|0125-00'!OrigApprop)</f>
        <v>156290.45414650082</v>
      </c>
      <c r="F9" s="223">
        <f>IF('GVEA|0125-00'!OrigApprop=0,0,(F7/H7)*'GVEA|0125-00'!OrigApprop)</f>
        <v>27002.746076875996</v>
      </c>
      <c r="G9" s="223">
        <f>IF(E9=0,0,(G7/H7)*'GVEA|0125-00'!OrigApprop)</f>
        <v>32306.799776623186</v>
      </c>
      <c r="H9" s="223">
        <f>SUM(E9:G9)</f>
        <v>215600</v>
      </c>
      <c r="I9" s="268"/>
      <c r="J9" s="224"/>
      <c r="K9" s="224"/>
      <c r="L9" s="224"/>
    </row>
    <row r="10" spans="1:12">
      <c r="A10" s="424" t="s">
        <v>32</v>
      </c>
      <c r="B10" s="425"/>
      <c r="C10" s="160" t="s">
        <v>33</v>
      </c>
      <c r="D10" s="161">
        <f>D9-D7</f>
        <v>-0.25</v>
      </c>
      <c r="E10" s="162">
        <f>E9-E7</f>
        <v>26061.654146500834</v>
      </c>
      <c r="F10" s="162">
        <f>F9-F7</f>
        <v>4502.7460768759956</v>
      </c>
      <c r="G10" s="162">
        <f>G9-G7</f>
        <v>5387.2045286231878</v>
      </c>
      <c r="H10" s="162">
        <f>H9-H7</f>
        <v>35951.604752000014</v>
      </c>
      <c r="I10" s="269"/>
      <c r="J10" s="56" t="str">
        <f>IF('GVEA|0125-00'!OrigApprop=0,"No Original Appropriation amount in DU 3.00 for this fund","Calculated "&amp;IF('GVEA|0125-00'!AdjustedTotal&gt;0,"overfunding ","underfunding ")&amp;"is "&amp;TEXT('GVEA|0125-00'!AdjustedTotal/'GVEA|0125-00'!AppropTotal,"#.0%;(#.0% );0% ;")&amp;" of Original Appropriation")</f>
        <v>Calculated overfunding is 16.7% of Original Appropriation</v>
      </c>
      <c r="K10" s="163"/>
      <c r="L10" s="164"/>
    </row>
    <row r="12" spans="1:12">
      <c r="A12" s="396" t="s">
        <v>306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>
      <c r="A13" s="413" t="s">
        <v>22</v>
      </c>
      <c r="B13" s="414"/>
      <c r="C13" s="371" t="s">
        <v>23</v>
      </c>
      <c r="D13" s="49" t="s">
        <v>24</v>
      </c>
      <c r="E13" s="50" t="str">
        <f>"FY "&amp;'GVEA|0348-00'!FiscalYear-1&amp;" SALARY"</f>
        <v>FY 2023 SALARY</v>
      </c>
      <c r="F13" s="50" t="str">
        <f>"FY "&amp;'GVEA|0348-00'!FiscalYear-1&amp;" HEALTH BENEFITS"</f>
        <v>FY 2023 HEALTH BENEFITS</v>
      </c>
      <c r="G13" s="50" t="str">
        <f>"FY "&amp;'GVEA|0348-00'!FiscalYear-1&amp;" VAR BENEFITS"</f>
        <v>FY 2023 VAR BENEFITS</v>
      </c>
      <c r="H13" s="50" t="str">
        <f>"FY "&amp;'GVEA|0348-00'!FiscalYear-1&amp;" TOTAL"</f>
        <v>FY 2023 TOTAL</v>
      </c>
      <c r="I13" s="50" t="str">
        <f>"FY "&amp;'GVEA|0348-00'!FiscalYear&amp;" SALARY CHANGE"</f>
        <v>FY 2024 SALARY CHANGE</v>
      </c>
      <c r="J13" s="50" t="str">
        <f>"FY "&amp;'GVEA|0348-00'!FiscalYear&amp;" CHG HEALTH BENEFITS"</f>
        <v>FY 2024 CHG HEALTH BENEFITS</v>
      </c>
      <c r="K13" s="50" t="str">
        <f>"FY "&amp;'GVEA|0348-00'!FiscalYear&amp;" CHG VAR BENEFITS"</f>
        <v>FY 2024 CHG VAR BENEFITS</v>
      </c>
      <c r="L13" s="50" t="s">
        <v>25</v>
      </c>
    </row>
    <row r="14" spans="1:12">
      <c r="A14" s="416" t="s">
        <v>26</v>
      </c>
      <c r="B14" s="417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>
      <c r="A15" s="406" t="s">
        <v>27</v>
      </c>
      <c r="B15" s="407"/>
      <c r="C15" s="217">
        <v>1</v>
      </c>
      <c r="D15" s="288">
        <f>[0]!GVEA034800col_INC_FTI</f>
        <v>5.9</v>
      </c>
      <c r="E15" s="218">
        <f>[0]!GVEA034800col_FTI_SALARY_PERM</f>
        <v>377241.28</v>
      </c>
      <c r="F15" s="218">
        <f>[0]!GVEA034800col_HEALTH_PERM</f>
        <v>73750</v>
      </c>
      <c r="G15" s="218">
        <f>[0]!GVEA034800col_TOT_VB_PERM</f>
        <v>77979.544988800015</v>
      </c>
      <c r="H15" s="219">
        <f>SUM(E15:G15)</f>
        <v>528970.8249888001</v>
      </c>
      <c r="I15" s="219">
        <f>[0]!GVEA034800col_1_27TH_PP</f>
        <v>0</v>
      </c>
      <c r="J15" s="218">
        <f>[0]!GVEA034800col_HEALTH_PERM_CHG</f>
        <v>7375</v>
      </c>
      <c r="K15" s="218">
        <f>[0]!GVEA034800col_TOT_VB_PERM_CHG</f>
        <v>-3319.7232640000038</v>
      </c>
      <c r="L15" s="218">
        <f>SUM(J15:K15)</f>
        <v>4055.2767359999962</v>
      </c>
    </row>
    <row r="16" spans="1:12">
      <c r="A16" s="406" t="s">
        <v>28</v>
      </c>
      <c r="B16" s="407"/>
      <c r="C16" s="217">
        <v>2</v>
      </c>
      <c r="D16" s="288"/>
      <c r="E16" s="218">
        <f>[0]!GVEA034800col_Group_Salary</f>
        <v>5152</v>
      </c>
      <c r="F16" s="218">
        <v>0</v>
      </c>
      <c r="G16" s="218">
        <f>[0]!GVEA034800col_Group_Ben</f>
        <v>3494.18</v>
      </c>
      <c r="H16" s="219">
        <f>SUM(E16:G16)</f>
        <v>8646.18</v>
      </c>
      <c r="I16" s="268"/>
      <c r="J16" s="218"/>
      <c r="K16" s="218"/>
      <c r="L16" s="218"/>
    </row>
    <row r="17" spans="1:12">
      <c r="A17" s="406" t="s">
        <v>29</v>
      </c>
      <c r="B17" s="418"/>
      <c r="C17" s="217">
        <v>3</v>
      </c>
      <c r="D17" s="288">
        <f>[0]!GVEA034800col_TOTAL_ELECT_PCN_FTI</f>
        <v>0</v>
      </c>
      <c r="E17" s="218">
        <f>[0]!GVEA034800col_FTI_SALARY_ELECT</f>
        <v>0</v>
      </c>
      <c r="F17" s="218">
        <f>[0]!GVEA034800col_HEALTH_ELECT</f>
        <v>0</v>
      </c>
      <c r="G17" s="218">
        <f>[0]!GVEA034800col_TOT_VB_ELECT</f>
        <v>0</v>
      </c>
      <c r="H17" s="219">
        <f>SUM(E17:G17)</f>
        <v>0</v>
      </c>
      <c r="I17" s="268"/>
      <c r="J17" s="218">
        <f>[0]!GVEA034800col_HEALTH_ELECT_CHG</f>
        <v>0</v>
      </c>
      <c r="K17" s="218">
        <f>[0]!GVEA034800col_TOT_VB_ELECT_CHG</f>
        <v>0</v>
      </c>
      <c r="L17" s="219">
        <f>SUM(J17:K17)</f>
        <v>0</v>
      </c>
    </row>
    <row r="18" spans="1:12">
      <c r="A18" s="406" t="s">
        <v>30</v>
      </c>
      <c r="B18" s="407"/>
      <c r="C18" s="217"/>
      <c r="D18" s="220">
        <f>SUM(D15:D17)</f>
        <v>5.9</v>
      </c>
      <c r="E18" s="221">
        <f>SUM(E15:E17)</f>
        <v>382393.28</v>
      </c>
      <c r="F18" s="221">
        <f>SUM(F15:F17)</f>
        <v>73750</v>
      </c>
      <c r="G18" s="221">
        <f>SUM(G15:G17)</f>
        <v>81473.724988800008</v>
      </c>
      <c r="H18" s="219">
        <f>SUM(E18:G18)</f>
        <v>537617.00498880004</v>
      </c>
      <c r="I18" s="268"/>
      <c r="J18" s="219">
        <f>SUM(J15:J17)</f>
        <v>7375</v>
      </c>
      <c r="K18" s="219">
        <f>SUM(K15:K17)</f>
        <v>-3319.7232640000038</v>
      </c>
      <c r="L18" s="219">
        <f>SUM(L15:L17)</f>
        <v>4055.2767359999962</v>
      </c>
    </row>
    <row r="19" spans="1:12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>
      <c r="A20" s="157" t="str">
        <f>"FY "&amp;'GVEA|0348-00'!FiscalYear-1</f>
        <v>FY 2023</v>
      </c>
      <c r="B20" s="158" t="s">
        <v>31</v>
      </c>
      <c r="C20" s="355">
        <v>676200</v>
      </c>
      <c r="D20" s="55">
        <v>7.3</v>
      </c>
      <c r="E20" s="223">
        <f>IF('GVEA|0348-00'!OrigApprop=0,0,(E18/H18)*'GVEA|0348-00'!OrigApprop)</f>
        <v>480963.83398696029</v>
      </c>
      <c r="F20" s="223">
        <f>IF('GVEA|0348-00'!OrigApprop=0,0,(F18/H18)*'GVEA|0348-00'!OrigApprop)</f>
        <v>92760.737731945293</v>
      </c>
      <c r="G20" s="223">
        <f>IF(E20=0,0,(G18/H18)*'GVEA|0348-00'!OrigApprop)</f>
        <v>102475.42828109443</v>
      </c>
      <c r="H20" s="223">
        <f>SUM(E20:G20)</f>
        <v>676200</v>
      </c>
      <c r="I20" s="268"/>
      <c r="J20" s="224"/>
      <c r="K20" s="224"/>
      <c r="L20" s="224"/>
    </row>
    <row r="21" spans="1:12">
      <c r="A21" s="424" t="s">
        <v>32</v>
      </c>
      <c r="B21" s="425"/>
      <c r="C21" s="160" t="s">
        <v>33</v>
      </c>
      <c r="D21" s="161">
        <f>D20-D18</f>
        <v>1.3999999999999995</v>
      </c>
      <c r="E21" s="162">
        <f>E20-E18</f>
        <v>98570.553986960265</v>
      </c>
      <c r="F21" s="162">
        <f>F20-F18</f>
        <v>19010.737731945293</v>
      </c>
      <c r="G21" s="162">
        <f>G20-G18</f>
        <v>21001.70329229442</v>
      </c>
      <c r="H21" s="162">
        <f>H20-H18</f>
        <v>138582.99501119996</v>
      </c>
      <c r="I21" s="269"/>
      <c r="J21" s="56" t="str">
        <f>IF('GVEA|0348-00'!OrigApprop=0,"No Original Appropriation amount in DU 3.00 for this fund","Calculated "&amp;IF('GVEA|0348-00'!AdjustedTotal&gt;0,"overfunding ","underfunding ")&amp;"is "&amp;TEXT('GVEA|0348-00'!AdjustedTotal/'GVEA|0348-00'!AppropTotal,"#.0%;(#.0% );0% ;")&amp;" of Original Appropriation")</f>
        <v>Calculated overfunding is 20.5% of Original Appropriation</v>
      </c>
      <c r="K21" s="163"/>
      <c r="L21" s="164"/>
    </row>
    <row r="23" spans="1:12">
      <c r="A23" s="396" t="s">
        <v>312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</row>
    <row r="24" spans="1:12" ht="39">
      <c r="A24" s="413" t="s">
        <v>22</v>
      </c>
      <c r="B24" s="414"/>
      <c r="C24" s="371" t="s">
        <v>23</v>
      </c>
      <c r="D24" s="49" t="s">
        <v>24</v>
      </c>
      <c r="E24" s="50" t="str">
        <f>"FY "&amp;'GVEA|0349-00'!FiscalYear-1&amp;" SALARY"</f>
        <v>FY 2023 SALARY</v>
      </c>
      <c r="F24" s="50" t="str">
        <f>"FY "&amp;'GVEA|0349-00'!FiscalYear-1&amp;" HEALTH BENEFITS"</f>
        <v>FY 2023 HEALTH BENEFITS</v>
      </c>
      <c r="G24" s="50" t="str">
        <f>"FY "&amp;'GVEA|0349-00'!FiscalYear-1&amp;" VAR BENEFITS"</f>
        <v>FY 2023 VAR BENEFITS</v>
      </c>
      <c r="H24" s="50" t="str">
        <f>"FY "&amp;'GVEA|0349-00'!FiscalYear-1&amp;" TOTAL"</f>
        <v>FY 2023 TOTAL</v>
      </c>
      <c r="I24" s="50" t="str">
        <f>"FY "&amp;'GVEA|0349-00'!FiscalYear&amp;" SALARY CHANGE"</f>
        <v>FY 2024 SALARY CHANGE</v>
      </c>
      <c r="J24" s="50" t="str">
        <f>"FY "&amp;'GVEA|0349-00'!FiscalYear&amp;" CHG HEALTH BENEFITS"</f>
        <v>FY 2024 CHG HEALTH BENEFITS</v>
      </c>
      <c r="K24" s="50" t="str">
        <f>"FY "&amp;'GVEA|0349-00'!FiscalYear&amp;" CHG VAR BENEFITS"</f>
        <v>FY 2024 CHG VAR BENEFITS</v>
      </c>
      <c r="L24" s="50" t="s">
        <v>25</v>
      </c>
    </row>
    <row r="25" spans="1:12">
      <c r="A25" s="416" t="s">
        <v>26</v>
      </c>
      <c r="B25" s="417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>
      <c r="A26" s="406" t="s">
        <v>27</v>
      </c>
      <c r="B26" s="407"/>
      <c r="C26" s="217">
        <v>1</v>
      </c>
      <c r="D26" s="288">
        <f>[0]!GVEA034900col_INC_FTI</f>
        <v>0</v>
      </c>
      <c r="E26" s="218">
        <f>[0]!GVEA034900col_FTI_SALARY_PERM</f>
        <v>0</v>
      </c>
      <c r="F26" s="218">
        <f>[0]!GVEA034900col_HEALTH_PERM</f>
        <v>0</v>
      </c>
      <c r="G26" s="218">
        <f>[0]!GVEA034900col_TOT_VB_PERM</f>
        <v>0</v>
      </c>
      <c r="H26" s="219">
        <f>SUM(E26:G26)</f>
        <v>0</v>
      </c>
      <c r="I26" s="219">
        <f>[0]!GVEA034900col_1_27TH_PP</f>
        <v>0</v>
      </c>
      <c r="J26" s="218">
        <f>[0]!GVEA034900col_HEALTH_PERM_CHG</f>
        <v>0</v>
      </c>
      <c r="K26" s="218">
        <f>[0]!GVEA034900col_TOT_VB_PERM_CHG</f>
        <v>0</v>
      </c>
      <c r="L26" s="218">
        <f>SUM(J26:K26)</f>
        <v>0</v>
      </c>
    </row>
    <row r="27" spans="1:12">
      <c r="A27" s="406" t="s">
        <v>28</v>
      </c>
      <c r="B27" s="407"/>
      <c r="C27" s="217">
        <v>2</v>
      </c>
      <c r="D27" s="288"/>
      <c r="E27" s="218">
        <f>[0]!GVEA034900col_Group_Salary</f>
        <v>0</v>
      </c>
      <c r="F27" s="218">
        <v>0</v>
      </c>
      <c r="G27" s="218">
        <f>[0]!GVEA034900col_Group_Ben</f>
        <v>0</v>
      </c>
      <c r="H27" s="219">
        <f>SUM(E27:G27)</f>
        <v>0</v>
      </c>
      <c r="I27" s="268"/>
      <c r="J27" s="218"/>
      <c r="K27" s="218"/>
      <c r="L27" s="218"/>
    </row>
    <row r="28" spans="1:12">
      <c r="A28" s="406" t="s">
        <v>29</v>
      </c>
      <c r="B28" s="418"/>
      <c r="C28" s="217">
        <v>3</v>
      </c>
      <c r="D28" s="288">
        <f>[0]!GVEA034900col_TOTAL_ELECT_PCN_FTI</f>
        <v>0</v>
      </c>
      <c r="E28" s="218">
        <f>[0]!GVEA034900col_FTI_SALARY_ELECT</f>
        <v>0</v>
      </c>
      <c r="F28" s="218">
        <f>[0]!GVEA034900col_HEALTH_ELECT</f>
        <v>0</v>
      </c>
      <c r="G28" s="218">
        <f>[0]!GVEA034900col_TOT_VB_ELECT</f>
        <v>0</v>
      </c>
      <c r="H28" s="219">
        <f>SUM(E28:G28)</f>
        <v>0</v>
      </c>
      <c r="I28" s="268"/>
      <c r="J28" s="218">
        <f>[0]!GVEA034900col_HEALTH_ELECT_CHG</f>
        <v>0</v>
      </c>
      <c r="K28" s="218">
        <f>[0]!GVEA034900col_TOT_VB_ELECT_CHG</f>
        <v>0</v>
      </c>
      <c r="L28" s="219">
        <f>SUM(J28:K28)</f>
        <v>0</v>
      </c>
    </row>
    <row r="29" spans="1:12">
      <c r="A29" s="406" t="s">
        <v>30</v>
      </c>
      <c r="B29" s="407"/>
      <c r="C29" s="217"/>
      <c r="D29" s="220">
        <f>SUM(D26:D28)</f>
        <v>0</v>
      </c>
      <c r="E29" s="221">
        <f>SUM(E26:E28)</f>
        <v>0</v>
      </c>
      <c r="F29" s="221">
        <f>SUM(F26:F28)</f>
        <v>0</v>
      </c>
      <c r="G29" s="221">
        <f>SUM(G26:G28)</f>
        <v>0</v>
      </c>
      <c r="H29" s="219">
        <f>SUM(E29:G29)</f>
        <v>0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>
      <c r="A31" s="157" t="str">
        <f>"FY "&amp;'GVEA|0349-00'!FiscalYear-1</f>
        <v>FY 2023</v>
      </c>
      <c r="B31" s="158" t="s">
        <v>31</v>
      </c>
      <c r="C31" s="355">
        <v>10100</v>
      </c>
      <c r="D31" s="55">
        <v>0</v>
      </c>
      <c r="E31" s="223" t="e">
        <f>IF('GVEA|0349-00'!OrigApprop=0,0,(E29/H29)*'GVEA|0349-00'!OrigApprop)</f>
        <v>#DIV/0!</v>
      </c>
      <c r="F31" s="223" t="e">
        <f>IF('GVEA|0349-00'!OrigApprop=0,0,(F29/H29)*'GVEA|0349-00'!OrigApprop)</f>
        <v>#DIV/0!</v>
      </c>
      <c r="G31" s="223" t="e">
        <f>IF(E31=0,0,(G29/H29)*'GVEA|0349-00'!OrigApprop)</f>
        <v>#DIV/0!</v>
      </c>
      <c r="H31" s="223" t="e">
        <f>SUM(E31:G31)</f>
        <v>#DIV/0!</v>
      </c>
      <c r="I31" s="268"/>
      <c r="J31" s="224"/>
      <c r="K31" s="224"/>
      <c r="L31" s="224"/>
    </row>
    <row r="32" spans="1:12">
      <c r="A32" s="424" t="s">
        <v>32</v>
      </c>
      <c r="B32" s="425"/>
      <c r="C32" s="160" t="s">
        <v>33</v>
      </c>
      <c r="D32" s="161">
        <f>D31-D29</f>
        <v>0</v>
      </c>
      <c r="E32" s="162" t="e">
        <f>E31-E29</f>
        <v>#DIV/0!</v>
      </c>
      <c r="F32" s="162" t="e">
        <f>F31-F29</f>
        <v>#DIV/0!</v>
      </c>
      <c r="G32" s="162" t="e">
        <f>G31-G29</f>
        <v>#DIV/0!</v>
      </c>
      <c r="H32" s="162" t="e">
        <f>H31-H29</f>
        <v>#DIV/0!</v>
      </c>
      <c r="I32" s="269"/>
      <c r="J32" s="56" t="e">
        <f>IF('GVEA|0349-00'!OrigApprop=0,"No Original Appropriation amount in DU 3.00 for this fund","Calculated "&amp;IF('GVEA|0349-00'!AdjustedTotal&gt;0,"overfunding ","underfunding ")&amp;"is "&amp;TEXT('GVEA|0349-00'!AdjustedTotal/'GVEA|0349-00'!AppropTotal,"#.0%;(#.0% );0% ;")&amp;" of Original Appropriation")</f>
        <v>#DIV/0!</v>
      </c>
      <c r="K32" s="163"/>
      <c r="L32" s="164"/>
    </row>
    <row r="34" spans="1:12">
      <c r="A34" s="396" t="s">
        <v>319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</row>
    <row r="35" spans="1:12" ht="39">
      <c r="A35" s="413" t="s">
        <v>22</v>
      </c>
      <c r="B35" s="414"/>
      <c r="C35" s="371" t="s">
        <v>23</v>
      </c>
      <c r="D35" s="49" t="s">
        <v>24</v>
      </c>
      <c r="E35" s="50" t="str">
        <f>"FY "&amp;'GVEA|0494-00'!FiscalYear-1&amp;" SALARY"</f>
        <v>FY 2023 SALARY</v>
      </c>
      <c r="F35" s="50" t="str">
        <f>"FY "&amp;'GVEA|0494-00'!FiscalYear-1&amp;" HEALTH BENEFITS"</f>
        <v>FY 2023 HEALTH BENEFITS</v>
      </c>
      <c r="G35" s="50" t="str">
        <f>"FY "&amp;'GVEA|0494-00'!FiscalYear-1&amp;" VAR BENEFITS"</f>
        <v>FY 2023 VAR BENEFITS</v>
      </c>
      <c r="H35" s="50" t="str">
        <f>"FY "&amp;'GVEA|0494-00'!FiscalYear-1&amp;" TOTAL"</f>
        <v>FY 2023 TOTAL</v>
      </c>
      <c r="I35" s="50" t="str">
        <f>"FY "&amp;'GVEA|0494-00'!FiscalYear&amp;" SALARY CHANGE"</f>
        <v>FY 2024 SALARY CHANGE</v>
      </c>
      <c r="J35" s="50" t="str">
        <f>"FY "&amp;'GVEA|0494-00'!FiscalYear&amp;" CHG HEALTH BENEFITS"</f>
        <v>FY 2024 CHG HEALTH BENEFITS</v>
      </c>
      <c r="K35" s="50" t="str">
        <f>"FY "&amp;'GVEA|0494-00'!FiscalYear&amp;" CHG VAR BENEFITS"</f>
        <v>FY 2024 CHG VAR BENEFITS</v>
      </c>
      <c r="L35" s="50" t="s">
        <v>25</v>
      </c>
    </row>
    <row r="36" spans="1:12">
      <c r="A36" s="416" t="s">
        <v>26</v>
      </c>
      <c r="B36" s="417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>
      <c r="A37" s="406" t="s">
        <v>27</v>
      </c>
      <c r="B37" s="407"/>
      <c r="C37" s="217">
        <v>1</v>
      </c>
      <c r="D37" s="288">
        <f>[0]!GVEA049400col_INC_FTI</f>
        <v>0.5</v>
      </c>
      <c r="E37" s="218">
        <f>[0]!GVEA049400col_FTI_SALARY_PERM</f>
        <v>36649.599999999999</v>
      </c>
      <c r="F37" s="218">
        <f>[0]!GVEA049400col_HEALTH_PERM</f>
        <v>6250</v>
      </c>
      <c r="G37" s="218">
        <f>[0]!GVEA049400col_TOT_VB_PERM</f>
        <v>7575.8388159999995</v>
      </c>
      <c r="H37" s="219">
        <f>SUM(E37:G37)</f>
        <v>50475.438815999994</v>
      </c>
      <c r="I37" s="219">
        <f>[0]!GVEA049400col_1_27TH_PP</f>
        <v>0</v>
      </c>
      <c r="J37" s="218">
        <f>[0]!GVEA049400col_HEALTH_PERM_CHG</f>
        <v>625</v>
      </c>
      <c r="K37" s="218">
        <f>[0]!GVEA049400col_TOT_VB_PERM_CHG</f>
        <v>-322.51648000000034</v>
      </c>
      <c r="L37" s="218">
        <f>SUM(J37:K37)</f>
        <v>302.48351999999966</v>
      </c>
    </row>
    <row r="38" spans="1:12">
      <c r="A38" s="406" t="s">
        <v>28</v>
      </c>
      <c r="B38" s="407"/>
      <c r="C38" s="217">
        <v>2</v>
      </c>
      <c r="D38" s="288"/>
      <c r="E38" s="218">
        <f>[0]!GVEA049400col_Group_Salary</f>
        <v>10028</v>
      </c>
      <c r="F38" s="218">
        <v>0</v>
      </c>
      <c r="G38" s="218">
        <f>[0]!GVEA049400col_Group_Ben</f>
        <v>4120.7299999999996</v>
      </c>
      <c r="H38" s="219">
        <f>SUM(E38:G38)</f>
        <v>14148.73</v>
      </c>
      <c r="I38" s="268"/>
      <c r="J38" s="218"/>
      <c r="K38" s="218"/>
      <c r="L38" s="218"/>
    </row>
    <row r="39" spans="1:12">
      <c r="A39" s="406" t="s">
        <v>29</v>
      </c>
      <c r="B39" s="418"/>
      <c r="C39" s="217">
        <v>3</v>
      </c>
      <c r="D39" s="288">
        <f>[0]!GVEA049400col_TOTAL_ELECT_PCN_FTI</f>
        <v>0</v>
      </c>
      <c r="E39" s="218">
        <f>[0]!GVEA049400col_FTI_SALARY_ELECT</f>
        <v>0</v>
      </c>
      <c r="F39" s="218">
        <f>[0]!GVEA049400col_HEALTH_ELECT</f>
        <v>0</v>
      </c>
      <c r="G39" s="218">
        <f>[0]!GVEA049400col_TOT_VB_ELECT</f>
        <v>0</v>
      </c>
      <c r="H39" s="219">
        <f>SUM(E39:G39)</f>
        <v>0</v>
      </c>
      <c r="I39" s="268"/>
      <c r="J39" s="218">
        <f>[0]!GVEA049400col_HEALTH_ELECT_CHG</f>
        <v>0</v>
      </c>
      <c r="K39" s="218">
        <f>[0]!GVEA049400col_TOT_VB_ELECT_CHG</f>
        <v>0</v>
      </c>
      <c r="L39" s="219">
        <f>SUM(J39:K39)</f>
        <v>0</v>
      </c>
    </row>
    <row r="40" spans="1:12">
      <c r="A40" s="406" t="s">
        <v>30</v>
      </c>
      <c r="B40" s="407"/>
      <c r="C40" s="217"/>
      <c r="D40" s="220">
        <f>SUM(D37:D39)</f>
        <v>0.5</v>
      </c>
      <c r="E40" s="221">
        <f>SUM(E37:E39)</f>
        <v>46677.599999999999</v>
      </c>
      <c r="F40" s="221">
        <f>SUM(F37:F39)</f>
        <v>6250</v>
      </c>
      <c r="G40" s="221">
        <f>SUM(G37:G39)</f>
        <v>11696.568815999999</v>
      </c>
      <c r="H40" s="219">
        <f>SUM(E40:G40)</f>
        <v>64624.168815999998</v>
      </c>
      <c r="I40" s="268"/>
      <c r="J40" s="219">
        <f>SUM(J37:J39)</f>
        <v>625</v>
      </c>
      <c r="K40" s="219">
        <f>SUM(K37:K39)</f>
        <v>-322.51648000000034</v>
      </c>
      <c r="L40" s="219">
        <f>SUM(L37:L39)</f>
        <v>302.48351999999966</v>
      </c>
    </row>
    <row r="41" spans="1:12">
      <c r="A41" s="366"/>
      <c r="B41" s="372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>
      <c r="A42" s="157" t="str">
        <f>"FY "&amp;'GVEA|0494-00'!FiscalYear-1</f>
        <v>FY 2023</v>
      </c>
      <c r="B42" s="158" t="s">
        <v>31</v>
      </c>
      <c r="C42" s="355">
        <v>259300</v>
      </c>
      <c r="D42" s="55">
        <v>1</v>
      </c>
      <c r="E42" s="223">
        <f>IF('GVEA|0494-00'!OrigApprop=0,0,(E40/H40)*'GVEA|0494-00'!OrigApprop)</f>
        <v>187290.63602290154</v>
      </c>
      <c r="F42" s="223">
        <f>IF('GVEA|0494-00'!OrigApprop=0,0,(F40/H40)*'GVEA|0494-00'!OrigApprop)</f>
        <v>25077.691979517684</v>
      </c>
      <c r="G42" s="223">
        <f>IF(E42=0,0,(G40/H40)*'GVEA|0494-00'!OrigApprop)</f>
        <v>46931.671997580772</v>
      </c>
      <c r="H42" s="223">
        <f>SUM(E42:G42)</f>
        <v>259300</v>
      </c>
      <c r="I42" s="268"/>
      <c r="J42" s="224"/>
      <c r="K42" s="224"/>
      <c r="L42" s="224"/>
    </row>
    <row r="43" spans="1:12">
      <c r="A43" s="424" t="s">
        <v>32</v>
      </c>
      <c r="B43" s="425"/>
      <c r="C43" s="160" t="s">
        <v>33</v>
      </c>
      <c r="D43" s="161">
        <f>D42-D40</f>
        <v>0.5</v>
      </c>
      <c r="E43" s="162">
        <f>E42-E40</f>
        <v>140613.03602290154</v>
      </c>
      <c r="F43" s="162">
        <f>F42-F40</f>
        <v>18827.691979517684</v>
      </c>
      <c r="G43" s="162">
        <f>G42-G40</f>
        <v>35235.103181580773</v>
      </c>
      <c r="H43" s="162">
        <f>H42-H40</f>
        <v>194675.83118400001</v>
      </c>
      <c r="I43" s="269"/>
      <c r="J43" s="56" t="str">
        <f>IF('GVEA|0494-00'!OrigApprop=0,"No Original Appropriation amount in DU 3.00 for this fund","Calculated "&amp;IF('GVEA|0494-00'!AdjustedTotal&gt;0,"overfunding ","underfunding ")&amp;"is "&amp;TEXT('GVEA|0494-00'!AdjustedTotal/'GVEA|0494-00'!AppropTotal,"#.0%;(#.0% );0% ;")&amp;" of Original Appropriation")</f>
        <v>Calculated overfunding is 75.1% of Original Appropriation</v>
      </c>
      <c r="K43" s="163"/>
      <c r="L43" s="164"/>
    </row>
    <row r="45" spans="1:12">
      <c r="A45" s="396" t="s">
        <v>325</v>
      </c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6"/>
    </row>
    <row r="46" spans="1:12" ht="39">
      <c r="A46" s="413" t="s">
        <v>22</v>
      </c>
      <c r="B46" s="414"/>
      <c r="C46" s="371" t="s">
        <v>23</v>
      </c>
      <c r="D46" s="49" t="s">
        <v>24</v>
      </c>
      <c r="E46" s="50" t="str">
        <f>"FY "&amp;'GVEB|0199-00'!FiscalYear-1&amp;" SALARY"</f>
        <v>FY 2023 SALARY</v>
      </c>
      <c r="F46" s="50" t="str">
        <f>"FY "&amp;'GVEB|0199-00'!FiscalYear-1&amp;" HEALTH BENEFITS"</f>
        <v>FY 2023 HEALTH BENEFITS</v>
      </c>
      <c r="G46" s="50" t="str">
        <f>"FY "&amp;'GVEB|0199-00'!FiscalYear-1&amp;" VAR BENEFITS"</f>
        <v>FY 2023 VAR BENEFITS</v>
      </c>
      <c r="H46" s="50" t="str">
        <f>"FY "&amp;'GVEB|0199-00'!FiscalYear-1&amp;" TOTAL"</f>
        <v>FY 2023 TOTAL</v>
      </c>
      <c r="I46" s="50" t="str">
        <f>"FY "&amp;'GVEB|0199-00'!FiscalYear&amp;" SALARY CHANGE"</f>
        <v>FY 2024 SALARY CHANGE</v>
      </c>
      <c r="J46" s="50" t="str">
        <f>"FY "&amp;'GVEB|0199-00'!FiscalYear&amp;" CHG HEALTH BENEFITS"</f>
        <v>FY 2024 CHG HEALTH BENEFITS</v>
      </c>
      <c r="K46" s="50" t="str">
        <f>"FY "&amp;'GVEB|0199-00'!FiscalYear&amp;" CHG VAR BENEFITS"</f>
        <v>FY 2024 CHG VAR BENEFITS</v>
      </c>
      <c r="L46" s="50" t="s">
        <v>25</v>
      </c>
    </row>
    <row r="47" spans="1:12">
      <c r="A47" s="416" t="s">
        <v>26</v>
      </c>
      <c r="B47" s="417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>
      <c r="A48" s="406" t="s">
        <v>27</v>
      </c>
      <c r="B48" s="407"/>
      <c r="C48" s="217">
        <v>1</v>
      </c>
      <c r="D48" s="288">
        <f>[0]!GVEB019900col_INC_FTI</f>
        <v>0.79999999999999993</v>
      </c>
      <c r="E48" s="218">
        <f>[0]!GVEB019900col_FTI_SALARY_PERM</f>
        <v>99453.119999999995</v>
      </c>
      <c r="F48" s="218">
        <f>[0]!GVEB019900col_HEALTH_PERM</f>
        <v>10000</v>
      </c>
      <c r="G48" s="218">
        <f>[0]!GVEB019900col_TOT_VB_PERM</f>
        <v>20557.954435200001</v>
      </c>
      <c r="H48" s="219">
        <f>SUM(E48:G48)</f>
        <v>130011.07443519999</v>
      </c>
      <c r="I48" s="219">
        <f>[0]!GVEB019900col_1_27TH_PP</f>
        <v>0</v>
      </c>
      <c r="J48" s="218">
        <f>[0]!GVEB019900col_HEALTH_PERM_CHG</f>
        <v>1000</v>
      </c>
      <c r="K48" s="218">
        <f>[0]!GVEB019900col_TOT_VB_PERM_CHG</f>
        <v>-875.18745600000091</v>
      </c>
      <c r="L48" s="218">
        <f>SUM(J48:K48)</f>
        <v>124.81254399999909</v>
      </c>
    </row>
    <row r="49" spans="1:12">
      <c r="A49" s="406" t="s">
        <v>28</v>
      </c>
      <c r="B49" s="407"/>
      <c r="C49" s="217">
        <v>2</v>
      </c>
      <c r="D49" s="288"/>
      <c r="E49" s="218">
        <f>[0]!GVEB019900col_Group_Salary</f>
        <v>0</v>
      </c>
      <c r="F49" s="218">
        <v>0</v>
      </c>
      <c r="G49" s="218">
        <f>[0]!GVEB019900col_Group_Ben</f>
        <v>0</v>
      </c>
      <c r="H49" s="219">
        <f>SUM(E49:G49)</f>
        <v>0</v>
      </c>
      <c r="I49" s="268"/>
      <c r="J49" s="218"/>
      <c r="K49" s="218"/>
      <c r="L49" s="218"/>
    </row>
    <row r="50" spans="1:12">
      <c r="A50" s="406" t="s">
        <v>29</v>
      </c>
      <c r="B50" s="418"/>
      <c r="C50" s="217">
        <v>3</v>
      </c>
      <c r="D50" s="288">
        <f>[0]!GVEB019900col_TOTAL_ELECT_PCN_FTI</f>
        <v>0</v>
      </c>
      <c r="E50" s="218">
        <f>[0]!GVEB019900col_FTI_SALARY_ELECT</f>
        <v>0</v>
      </c>
      <c r="F50" s="218">
        <f>[0]!GVEB019900col_HEALTH_ELECT</f>
        <v>0</v>
      </c>
      <c r="G50" s="218">
        <f>[0]!GVEB019900col_TOT_VB_ELECT</f>
        <v>0</v>
      </c>
      <c r="H50" s="219">
        <f>SUM(E50:G50)</f>
        <v>0</v>
      </c>
      <c r="I50" s="268"/>
      <c r="J50" s="218">
        <f>[0]!GVEB019900col_HEALTH_ELECT_CHG</f>
        <v>0</v>
      </c>
      <c r="K50" s="218">
        <f>[0]!GVEB019900col_TOT_VB_ELECT_CHG</f>
        <v>0</v>
      </c>
      <c r="L50" s="219">
        <f>SUM(J50:K50)</f>
        <v>0</v>
      </c>
    </row>
    <row r="51" spans="1:12">
      <c r="A51" s="406" t="s">
        <v>30</v>
      </c>
      <c r="B51" s="407"/>
      <c r="C51" s="217"/>
      <c r="D51" s="220">
        <f>SUM(D48:D50)</f>
        <v>0.79999999999999993</v>
      </c>
      <c r="E51" s="221">
        <f>SUM(E48:E50)</f>
        <v>99453.119999999995</v>
      </c>
      <c r="F51" s="221">
        <f>SUM(F48:F50)</f>
        <v>10000</v>
      </c>
      <c r="G51" s="221">
        <f>SUM(G48:G50)</f>
        <v>20557.954435200001</v>
      </c>
      <c r="H51" s="219">
        <f>SUM(E51:G51)</f>
        <v>130011.07443519999</v>
      </c>
      <c r="I51" s="268"/>
      <c r="J51" s="219">
        <f>SUM(J48:J50)</f>
        <v>1000</v>
      </c>
      <c r="K51" s="219">
        <f>SUM(K48:K50)</f>
        <v>-875.18745600000091</v>
      </c>
      <c r="L51" s="219">
        <f>SUM(L48:L50)</f>
        <v>124.81254399999909</v>
      </c>
    </row>
    <row r="52" spans="1:12">
      <c r="A52" s="366"/>
      <c r="B52" s="372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>
      <c r="A53" s="157" t="str">
        <f>"FY "&amp;'GVEB|0199-00'!FiscalYear-1</f>
        <v>FY 2023</v>
      </c>
      <c r="B53" s="158" t="s">
        <v>31</v>
      </c>
      <c r="C53" s="355">
        <v>226900</v>
      </c>
      <c r="D53" s="55">
        <v>1.1499999999999999</v>
      </c>
      <c r="E53" s="223">
        <f>IF('GVEB|0199-00'!OrigApprop=0,0,(E51/H51)*'GVEB|0199-00'!OrigApprop)</f>
        <v>173569.159596841</v>
      </c>
      <c r="F53" s="223">
        <f>IF('GVEB|0199-00'!OrigApprop=0,0,(F51/H51)*'GVEB|0199-00'!OrigApprop)</f>
        <v>17452.359422896032</v>
      </c>
      <c r="G53" s="223">
        <f>IF(E53=0,0,(G51/H51)*'GVEB|0199-00'!OrigApprop)</f>
        <v>35878.480980262997</v>
      </c>
      <c r="H53" s="223">
        <f>SUM(E53:G53)</f>
        <v>226900.00000000003</v>
      </c>
      <c r="I53" s="268"/>
      <c r="J53" s="224"/>
      <c r="K53" s="224"/>
      <c r="L53" s="224"/>
    </row>
    <row r="54" spans="1:12">
      <c r="A54" s="424" t="s">
        <v>32</v>
      </c>
      <c r="B54" s="425"/>
      <c r="C54" s="160" t="s">
        <v>33</v>
      </c>
      <c r="D54" s="161">
        <f>D53-D51</f>
        <v>0.35</v>
      </c>
      <c r="E54" s="162">
        <f>E53-E51</f>
        <v>74116.039596841001</v>
      </c>
      <c r="F54" s="162">
        <f>F53-F51</f>
        <v>7452.3594228960319</v>
      </c>
      <c r="G54" s="162">
        <f>G53-G51</f>
        <v>15320.526545062996</v>
      </c>
      <c r="H54" s="162">
        <f>H53-H51</f>
        <v>96888.92556480004</v>
      </c>
      <c r="I54" s="269"/>
      <c r="J54" s="56" t="str">
        <f>IF('GVEB|0199-00'!OrigApprop=0,"No Original Appropriation amount in DU 3.00 for this fund","Calculated "&amp;IF('GVEB|0199-00'!AdjustedTotal&gt;0,"overfunding ","underfunding ")&amp;"is "&amp;TEXT('GVEB|0199-00'!AdjustedTotal/'GVEB|0199-00'!AppropTotal,"#.0%;(#.0% );0% ;")&amp;" of Original Appropriation")</f>
        <v>Calculated overfunding is 42.7% of Original Appropriation</v>
      </c>
      <c r="K54" s="163"/>
      <c r="L54" s="164"/>
    </row>
  </sheetData>
  <mergeCells count="35">
    <mergeCell ref="A48:B48"/>
    <mergeCell ref="A49:B49"/>
    <mergeCell ref="A50:B50"/>
    <mergeCell ref="A51:B51"/>
    <mergeCell ref="A54:B54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7:B7"/>
    <mergeCell ref="A2:B2"/>
    <mergeCell ref="A3:B3"/>
    <mergeCell ref="A4:B4"/>
    <mergeCell ref="A5:B5"/>
    <mergeCell ref="A6:B6"/>
  </mergeCells>
  <conditionalFormatting sqref="J10">
    <cfRule type="expression" dxfId="4" priority="5">
      <formula>$J$16&lt;0</formula>
    </cfRule>
  </conditionalFormatting>
  <conditionalFormatting sqref="J21">
    <cfRule type="expression" dxfId="3" priority="4">
      <formula>$J$16&lt;0</formula>
    </cfRule>
  </conditionalFormatting>
  <conditionalFormatting sqref="J32">
    <cfRule type="expression" dxfId="2" priority="3">
      <formula>$J$16&lt;0</formula>
    </cfRule>
  </conditionalFormatting>
  <conditionalFormatting sqref="J43">
    <cfRule type="expression" dxfId="1" priority="2">
      <formula>$J$16&lt;0</formula>
    </cfRule>
  </conditionalFormatting>
  <conditionalFormatting sqref="J54">
    <cfRule type="expression" dxfId="0" priority="1">
      <formula>$J$16&lt;0</formula>
    </cfRule>
  </conditionalFormatting>
  <pageMargins left="0.7" right="0.7" top="0.75" bottom="0.75" header="0.3" footer="0.3"/>
  <pageSetup scale="54" orientation="landscape" r:id="rId1"/>
  <headerFooter>
    <oddHeader>&amp;L&amp;"Arial"&amp;14 Office of the Governor&amp;R&amp;"Arial"&amp;10 Agency 199</oddHeader>
    <oddFooter>&amp;L&amp;"Arial"&amp;10 B6:Summary by Program, by Fund&amp;R&amp;"Arial"&amp;10 FY 2023 Request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817</vt:i4>
      </vt:variant>
    </vt:vector>
  </HeadingPairs>
  <TitlesOfParts>
    <vt:vector size="827" baseType="lpstr">
      <vt:lpstr>GVEA|0125-00</vt:lpstr>
      <vt:lpstr>GVEA|0348-00</vt:lpstr>
      <vt:lpstr>GVEA|0349-00</vt:lpstr>
      <vt:lpstr>GVEA|0494-00</vt:lpstr>
      <vt:lpstr>GVEB|0199-00</vt:lpstr>
      <vt:lpstr>Data</vt:lpstr>
      <vt:lpstr>Benefits</vt:lpstr>
      <vt:lpstr>B6</vt:lpstr>
      <vt:lpstr>Summary</vt:lpstr>
      <vt:lpstr>FundSummary</vt:lpstr>
      <vt:lpstr>'GVEA|0125-00'!AdjGroupHlth</vt:lpstr>
      <vt:lpstr>'GVEA|0348-00'!AdjGroupHlth</vt:lpstr>
      <vt:lpstr>'GVEA|0349-00'!AdjGroupHlth</vt:lpstr>
      <vt:lpstr>'GVEA|0494-00'!AdjGroupHlth</vt:lpstr>
      <vt:lpstr>'GVEB|0199-00'!AdjGroupHlth</vt:lpstr>
      <vt:lpstr>AdjGroupHlth</vt:lpstr>
      <vt:lpstr>'GVEA|0125-00'!AdjGroupSalary</vt:lpstr>
      <vt:lpstr>'GVEA|0348-00'!AdjGroupSalary</vt:lpstr>
      <vt:lpstr>'GVEA|0349-00'!AdjGroupSalary</vt:lpstr>
      <vt:lpstr>'GVEA|0494-00'!AdjGroupSalary</vt:lpstr>
      <vt:lpstr>'GVEB|0199-00'!AdjGroupSalary</vt:lpstr>
      <vt:lpstr>AdjGroupSalary</vt:lpstr>
      <vt:lpstr>'GVEA|0125-00'!AdjGroupVB</vt:lpstr>
      <vt:lpstr>'GVEA|0348-00'!AdjGroupVB</vt:lpstr>
      <vt:lpstr>'GVEA|0349-00'!AdjGroupVB</vt:lpstr>
      <vt:lpstr>'GVEA|0494-00'!AdjGroupVB</vt:lpstr>
      <vt:lpstr>'GVEB|0199-00'!AdjGroupVB</vt:lpstr>
      <vt:lpstr>AdjGroupVB</vt:lpstr>
      <vt:lpstr>'GVEA|0125-00'!AdjGroupVBBY</vt:lpstr>
      <vt:lpstr>'GVEA|0348-00'!AdjGroupVBBY</vt:lpstr>
      <vt:lpstr>'GVEA|0349-00'!AdjGroupVBBY</vt:lpstr>
      <vt:lpstr>'GVEA|0494-00'!AdjGroupVBBY</vt:lpstr>
      <vt:lpstr>'GVEB|0199-00'!AdjGroupVBBY</vt:lpstr>
      <vt:lpstr>AdjGroupVBBY</vt:lpstr>
      <vt:lpstr>'GVEA|0125-00'!AdjPermHlth</vt:lpstr>
      <vt:lpstr>'GVEA|0348-00'!AdjPermHlth</vt:lpstr>
      <vt:lpstr>'GVEA|0349-00'!AdjPermHlth</vt:lpstr>
      <vt:lpstr>'GVEA|0494-00'!AdjPermHlth</vt:lpstr>
      <vt:lpstr>'GVEB|0199-00'!AdjPermHlth</vt:lpstr>
      <vt:lpstr>AdjPermHlth</vt:lpstr>
      <vt:lpstr>'GVEA|0125-00'!AdjPermHlthBY</vt:lpstr>
      <vt:lpstr>'GVEA|0348-00'!AdjPermHlthBY</vt:lpstr>
      <vt:lpstr>'GVEA|0349-00'!AdjPermHlthBY</vt:lpstr>
      <vt:lpstr>'GVEA|0494-00'!AdjPermHlthBY</vt:lpstr>
      <vt:lpstr>'GVEB|0199-00'!AdjPermHlthBY</vt:lpstr>
      <vt:lpstr>AdjPermHlthBY</vt:lpstr>
      <vt:lpstr>'GVEA|0125-00'!AdjPermSalary</vt:lpstr>
      <vt:lpstr>'GVEA|0348-00'!AdjPermSalary</vt:lpstr>
      <vt:lpstr>'GVEA|0349-00'!AdjPermSalary</vt:lpstr>
      <vt:lpstr>'GVEA|0494-00'!AdjPermSalary</vt:lpstr>
      <vt:lpstr>'GVEB|0199-00'!AdjPermSalary</vt:lpstr>
      <vt:lpstr>AdjPermSalary</vt:lpstr>
      <vt:lpstr>'GVEA|0125-00'!AdjPermVB</vt:lpstr>
      <vt:lpstr>'GVEA|0348-00'!AdjPermVB</vt:lpstr>
      <vt:lpstr>'GVEA|0349-00'!AdjPermVB</vt:lpstr>
      <vt:lpstr>'GVEA|0494-00'!AdjPermVB</vt:lpstr>
      <vt:lpstr>'GVEB|0199-00'!AdjPermVB</vt:lpstr>
      <vt:lpstr>AdjPermVB</vt:lpstr>
      <vt:lpstr>'GVEA|0125-00'!AdjPermVBBY</vt:lpstr>
      <vt:lpstr>'GVEA|0348-00'!AdjPermVBBY</vt:lpstr>
      <vt:lpstr>'GVEA|0349-00'!AdjPermVBBY</vt:lpstr>
      <vt:lpstr>'GVEA|0494-00'!AdjPermVBBY</vt:lpstr>
      <vt:lpstr>'GVEB|0199-00'!AdjPermVBBY</vt:lpstr>
      <vt:lpstr>AdjPermVBBY</vt:lpstr>
      <vt:lpstr>'GVEA|0125-00'!AdjustedTotal</vt:lpstr>
      <vt:lpstr>'GVEA|0348-00'!AdjustedTotal</vt:lpstr>
      <vt:lpstr>'GVEA|0349-00'!AdjustedTotal</vt:lpstr>
      <vt:lpstr>'GVEA|0494-00'!AdjustedTotal</vt:lpstr>
      <vt:lpstr>'GVEB|0199-00'!AdjustedTotal</vt:lpstr>
      <vt:lpstr>AdjustedTotal</vt:lpstr>
      <vt:lpstr>'GVEA|0125-00'!AgencyNum</vt:lpstr>
      <vt:lpstr>'GVEA|0348-00'!AgencyNum</vt:lpstr>
      <vt:lpstr>'GVEA|0349-00'!AgencyNum</vt:lpstr>
      <vt:lpstr>'GVEA|0494-00'!AgencyNum</vt:lpstr>
      <vt:lpstr>'GVEB|0199-00'!AgencyNum</vt:lpstr>
      <vt:lpstr>AgencyNum</vt:lpstr>
      <vt:lpstr>'GVEA|0125-00'!AppropFTP</vt:lpstr>
      <vt:lpstr>'GVEA|0348-00'!AppropFTP</vt:lpstr>
      <vt:lpstr>'GVEA|0349-00'!AppropFTP</vt:lpstr>
      <vt:lpstr>'GVEA|0494-00'!AppropFTP</vt:lpstr>
      <vt:lpstr>'GVEB|0199-00'!AppropFTP</vt:lpstr>
      <vt:lpstr>AppropFTP</vt:lpstr>
      <vt:lpstr>'GVEA|0125-00'!AppropTotal</vt:lpstr>
      <vt:lpstr>'GVEA|0348-00'!AppropTotal</vt:lpstr>
      <vt:lpstr>'GVEA|0349-00'!AppropTotal</vt:lpstr>
      <vt:lpstr>'GVEA|0494-00'!AppropTotal</vt:lpstr>
      <vt:lpstr>'GVEB|0199-00'!AppropTotal</vt:lpstr>
      <vt:lpstr>AppropTotal</vt:lpstr>
      <vt:lpstr>'GVEA|0125-00'!AtZHealth</vt:lpstr>
      <vt:lpstr>'GVEA|0348-00'!AtZHealth</vt:lpstr>
      <vt:lpstr>'GVEA|0349-00'!AtZHealth</vt:lpstr>
      <vt:lpstr>'GVEA|0494-00'!AtZHealth</vt:lpstr>
      <vt:lpstr>'GVEB|0199-00'!AtZHealth</vt:lpstr>
      <vt:lpstr>AtZHealth</vt:lpstr>
      <vt:lpstr>'GVEA|0125-00'!AtZSalary</vt:lpstr>
      <vt:lpstr>'GVEA|0348-00'!AtZSalary</vt:lpstr>
      <vt:lpstr>'GVEA|0349-00'!AtZSalary</vt:lpstr>
      <vt:lpstr>'GVEA|0494-00'!AtZSalary</vt:lpstr>
      <vt:lpstr>'GVEB|0199-00'!AtZSalary</vt:lpstr>
      <vt:lpstr>AtZSalary</vt:lpstr>
      <vt:lpstr>'GVEA|0125-00'!AtZTotal</vt:lpstr>
      <vt:lpstr>'GVEA|0348-00'!AtZTotal</vt:lpstr>
      <vt:lpstr>'GVEA|0349-00'!AtZTotal</vt:lpstr>
      <vt:lpstr>'GVEA|0494-00'!AtZTotal</vt:lpstr>
      <vt:lpstr>'GVEB|0199-00'!AtZTotal</vt:lpstr>
      <vt:lpstr>AtZTotal</vt:lpstr>
      <vt:lpstr>'GVEA|0125-00'!AtZVarBen</vt:lpstr>
      <vt:lpstr>'GVEA|0348-00'!AtZVarBen</vt:lpstr>
      <vt:lpstr>'GVEA|0349-00'!AtZVarBen</vt:lpstr>
      <vt:lpstr>'GVEA|0494-00'!AtZVarBen</vt:lpstr>
      <vt:lpstr>'GVEB|0199-00'!AtZVarBen</vt:lpstr>
      <vt:lpstr>AtZVarBen</vt:lpstr>
      <vt:lpstr>'GVEA|0125-00'!BudgetUnit</vt:lpstr>
      <vt:lpstr>'GVEA|0348-00'!BudgetUnit</vt:lpstr>
      <vt:lpstr>'GVEA|0349-00'!BudgetUnit</vt:lpstr>
      <vt:lpstr>'GVEA|0494-00'!BudgetUnit</vt:lpstr>
      <vt:lpstr>'GVEB|0199-00'!BudgetUnit</vt:lpstr>
      <vt:lpstr>BudgetUnit</vt:lpstr>
      <vt:lpstr>BudgetYear</vt:lpstr>
      <vt:lpstr>CECGroup</vt:lpstr>
      <vt:lpstr>'GVEA|0125-00'!CECOrigElectSalary</vt:lpstr>
      <vt:lpstr>'GVEA|0348-00'!CECOrigElectSalary</vt:lpstr>
      <vt:lpstr>'GVEA|0349-00'!CECOrigElectSalary</vt:lpstr>
      <vt:lpstr>'GVEA|0494-00'!CECOrigElectSalary</vt:lpstr>
      <vt:lpstr>'GVEB|0199-00'!CECOrigElectSalary</vt:lpstr>
      <vt:lpstr>CECOrigElectSalary</vt:lpstr>
      <vt:lpstr>'GVEA|0125-00'!CECOrigElectVB</vt:lpstr>
      <vt:lpstr>'GVEA|0348-00'!CECOrigElectVB</vt:lpstr>
      <vt:lpstr>'GVEA|0349-00'!CECOrigElectVB</vt:lpstr>
      <vt:lpstr>'GVEA|0494-00'!CECOrigElectVB</vt:lpstr>
      <vt:lpstr>'GVEB|0199-00'!CECOrigElectVB</vt:lpstr>
      <vt:lpstr>CECOrigElectVB</vt:lpstr>
      <vt:lpstr>'GVEA|0125-00'!CECOrigGroupSalary</vt:lpstr>
      <vt:lpstr>'GVEA|0348-00'!CECOrigGroupSalary</vt:lpstr>
      <vt:lpstr>'GVEA|0349-00'!CECOrigGroupSalary</vt:lpstr>
      <vt:lpstr>'GVEA|0494-00'!CECOrigGroupSalary</vt:lpstr>
      <vt:lpstr>'GVEB|0199-00'!CECOrigGroupSalary</vt:lpstr>
      <vt:lpstr>CECOrigGroupSalary</vt:lpstr>
      <vt:lpstr>'GVEA|0125-00'!CECOrigGroupVB</vt:lpstr>
      <vt:lpstr>'GVEA|0348-00'!CECOrigGroupVB</vt:lpstr>
      <vt:lpstr>'GVEA|0349-00'!CECOrigGroupVB</vt:lpstr>
      <vt:lpstr>'GVEA|0494-00'!CECOrigGroupVB</vt:lpstr>
      <vt:lpstr>'GVEB|0199-00'!CECOrigGroupVB</vt:lpstr>
      <vt:lpstr>CECOrigGroupVB</vt:lpstr>
      <vt:lpstr>'GVEA|0125-00'!CECOrigPermSalary</vt:lpstr>
      <vt:lpstr>'GVEA|0348-00'!CECOrigPermSalary</vt:lpstr>
      <vt:lpstr>'GVEA|0349-00'!CECOrigPermSalary</vt:lpstr>
      <vt:lpstr>'GVEA|0494-00'!CECOrigPermSalary</vt:lpstr>
      <vt:lpstr>'GVEB|0199-00'!CECOrigPermSalary</vt:lpstr>
      <vt:lpstr>CECOrigPermSalary</vt:lpstr>
      <vt:lpstr>'GVEA|0125-00'!CECOrigPermVB</vt:lpstr>
      <vt:lpstr>'GVEA|0348-00'!CECOrigPermVB</vt:lpstr>
      <vt:lpstr>'GVEA|0349-00'!CECOrigPermVB</vt:lpstr>
      <vt:lpstr>'GVEA|0494-00'!CECOrigPermVB</vt:lpstr>
      <vt:lpstr>'GVEB|0199-00'!CECOrigPermVB</vt:lpstr>
      <vt:lpstr>CECOrigPermVB</vt:lpstr>
      <vt:lpstr>CECPerm</vt:lpstr>
      <vt:lpstr>'GVEA|0125-00'!CECpermCalc</vt:lpstr>
      <vt:lpstr>'GVEA|0348-00'!CECpermCalc</vt:lpstr>
      <vt:lpstr>'GVEA|0349-00'!CECpermCalc</vt:lpstr>
      <vt:lpstr>'GVEA|0494-00'!CECpermCalc</vt:lpstr>
      <vt:lpstr>'GVEB|0199-00'!CECpermCalc</vt:lpstr>
      <vt:lpstr>CECpermCalc</vt:lpstr>
      <vt:lpstr>'GVEA|0125-00'!Department</vt:lpstr>
      <vt:lpstr>'GVEA|0348-00'!Department</vt:lpstr>
      <vt:lpstr>'GVEA|0349-00'!Department</vt:lpstr>
      <vt:lpstr>'GVEA|0494-00'!Department</vt:lpstr>
      <vt:lpstr>'GVEB|0199-00'!Department</vt:lpstr>
      <vt:lpstr>Department</vt:lpstr>
      <vt:lpstr>DHR</vt:lpstr>
      <vt:lpstr>DHRBY</vt:lpstr>
      <vt:lpstr>DHRCHG</vt:lpstr>
      <vt:lpstr>'GVEA|0125-00'!Division</vt:lpstr>
      <vt:lpstr>'GVEA|0348-00'!Division</vt:lpstr>
      <vt:lpstr>'GVEA|0349-00'!Division</vt:lpstr>
      <vt:lpstr>'GVEA|0494-00'!Division</vt:lpstr>
      <vt:lpstr>'GVEB|0199-00'!Division</vt:lpstr>
      <vt:lpstr>Division</vt:lpstr>
      <vt:lpstr>'GVEA|0125-00'!DUCECElect</vt:lpstr>
      <vt:lpstr>'GVEA|0348-00'!DUCECElect</vt:lpstr>
      <vt:lpstr>'GVEA|0349-00'!DUCECElect</vt:lpstr>
      <vt:lpstr>'GVEA|0494-00'!DUCECElect</vt:lpstr>
      <vt:lpstr>'GVEB|0199-00'!DUCECElect</vt:lpstr>
      <vt:lpstr>DUCECElect</vt:lpstr>
      <vt:lpstr>'GVEA|0125-00'!DUCECGroup</vt:lpstr>
      <vt:lpstr>'GVEA|0348-00'!DUCECGroup</vt:lpstr>
      <vt:lpstr>'GVEA|0349-00'!DUCECGroup</vt:lpstr>
      <vt:lpstr>'GVEA|0494-00'!DUCECGroup</vt:lpstr>
      <vt:lpstr>'GVEB|0199-00'!DUCECGroup</vt:lpstr>
      <vt:lpstr>DUCECGroup</vt:lpstr>
      <vt:lpstr>'GVEA|0125-00'!DUCECPerm</vt:lpstr>
      <vt:lpstr>'GVEA|0348-00'!DUCECPerm</vt:lpstr>
      <vt:lpstr>'GVEA|0349-00'!DUCECPerm</vt:lpstr>
      <vt:lpstr>'GVEA|0494-00'!DUCECPerm</vt:lpstr>
      <vt:lpstr>'GVEB|0199-00'!DUCECPerm</vt:lpstr>
      <vt:lpstr>DUCECPerm</vt:lpstr>
      <vt:lpstr>'GVEA|0125-00'!DUEleven</vt:lpstr>
      <vt:lpstr>'GVEA|0348-00'!DUEleven</vt:lpstr>
      <vt:lpstr>'GVEA|0349-00'!DUEleven</vt:lpstr>
      <vt:lpstr>'GVEA|0494-00'!DUEleven</vt:lpstr>
      <vt:lpstr>'GVEB|0199-00'!DUEleven</vt:lpstr>
      <vt:lpstr>DUEleven</vt:lpstr>
      <vt:lpstr>'GVEA|0125-00'!DUHealthBen</vt:lpstr>
      <vt:lpstr>'GVEA|0348-00'!DUHealthBen</vt:lpstr>
      <vt:lpstr>'GVEA|0349-00'!DUHealthBen</vt:lpstr>
      <vt:lpstr>'GVEA|0494-00'!DUHealthBen</vt:lpstr>
      <vt:lpstr>'GVEB|0199-00'!DUHealthBen</vt:lpstr>
      <vt:lpstr>DUHealthBen</vt:lpstr>
      <vt:lpstr>'GVEA|0125-00'!DUNine</vt:lpstr>
      <vt:lpstr>'GVEA|0348-00'!DUNine</vt:lpstr>
      <vt:lpstr>'GVEA|0349-00'!DUNine</vt:lpstr>
      <vt:lpstr>'GVEA|0494-00'!DUNine</vt:lpstr>
      <vt:lpstr>'GVEB|0199-00'!DUNine</vt:lpstr>
      <vt:lpstr>DUNine</vt:lpstr>
      <vt:lpstr>'GVEA|0125-00'!DUThirteen</vt:lpstr>
      <vt:lpstr>'GVEA|0348-00'!DUThirteen</vt:lpstr>
      <vt:lpstr>'GVEA|0349-00'!DUThirteen</vt:lpstr>
      <vt:lpstr>'GVEA|0494-00'!DUThirteen</vt:lpstr>
      <vt:lpstr>'GVEB|0199-00'!DUThirteen</vt:lpstr>
      <vt:lpstr>DUThirteen</vt:lpstr>
      <vt:lpstr>'GVEA|0125-00'!DUVariableBen</vt:lpstr>
      <vt:lpstr>'GVEA|0348-00'!DUVariableBen</vt:lpstr>
      <vt:lpstr>'GVEA|0349-00'!DUVariableBen</vt:lpstr>
      <vt:lpstr>'GVEA|0494-00'!DUVariableBen</vt:lpstr>
      <vt:lpstr>'GVEB|0199-00'!DUVariableBen</vt:lpstr>
      <vt:lpstr>DUVariableBen</vt:lpstr>
      <vt:lpstr>'GVEA|0125-00'!Elect_chg_health</vt:lpstr>
      <vt:lpstr>'GVEA|0348-00'!Elect_chg_health</vt:lpstr>
      <vt:lpstr>'GVEA|0349-00'!Elect_chg_health</vt:lpstr>
      <vt:lpstr>'GVEA|0494-00'!Elect_chg_health</vt:lpstr>
      <vt:lpstr>'GVEB|0199-00'!Elect_chg_health</vt:lpstr>
      <vt:lpstr>Elect_chg_health</vt:lpstr>
      <vt:lpstr>'GVEA|0125-00'!Elect_chg_Var</vt:lpstr>
      <vt:lpstr>'GVEA|0348-00'!Elect_chg_Var</vt:lpstr>
      <vt:lpstr>'GVEA|0349-00'!Elect_chg_Var</vt:lpstr>
      <vt:lpstr>'GVEA|0494-00'!Elect_chg_Var</vt:lpstr>
      <vt:lpstr>'GVEB|0199-00'!Elect_chg_Var</vt:lpstr>
      <vt:lpstr>Elect_chg_Var</vt:lpstr>
      <vt:lpstr>'GVEA|0125-00'!elect_FTP</vt:lpstr>
      <vt:lpstr>'GVEA|0348-00'!elect_FTP</vt:lpstr>
      <vt:lpstr>'GVEA|0349-00'!elect_FTP</vt:lpstr>
      <vt:lpstr>'GVEA|0494-00'!elect_FTP</vt:lpstr>
      <vt:lpstr>'GVEB|0199-00'!elect_FTP</vt:lpstr>
      <vt:lpstr>elect_FTP</vt:lpstr>
      <vt:lpstr>'GVEA|0125-00'!Elect_health</vt:lpstr>
      <vt:lpstr>'GVEA|0348-00'!Elect_health</vt:lpstr>
      <vt:lpstr>'GVEA|0349-00'!Elect_health</vt:lpstr>
      <vt:lpstr>'GVEA|0494-00'!Elect_health</vt:lpstr>
      <vt:lpstr>'GVEB|0199-00'!Elect_health</vt:lpstr>
      <vt:lpstr>Elect_health</vt:lpstr>
      <vt:lpstr>'GVEA|0125-00'!Elect_name</vt:lpstr>
      <vt:lpstr>'GVEA|0348-00'!Elect_name</vt:lpstr>
      <vt:lpstr>'GVEA|0349-00'!Elect_name</vt:lpstr>
      <vt:lpstr>'GVEA|0494-00'!Elect_name</vt:lpstr>
      <vt:lpstr>'GVEB|0199-00'!Elect_name</vt:lpstr>
      <vt:lpstr>Elect_name</vt:lpstr>
      <vt:lpstr>'GVEA|0125-00'!Elect_salary</vt:lpstr>
      <vt:lpstr>'GVEA|0348-00'!Elect_salary</vt:lpstr>
      <vt:lpstr>'GVEA|0349-00'!Elect_salary</vt:lpstr>
      <vt:lpstr>'GVEA|0494-00'!Elect_salary</vt:lpstr>
      <vt:lpstr>'GVEB|0199-00'!Elect_salary</vt:lpstr>
      <vt:lpstr>Elect_salary</vt:lpstr>
      <vt:lpstr>'GVEA|0125-00'!Elect_Var</vt:lpstr>
      <vt:lpstr>'GVEA|0348-00'!Elect_Var</vt:lpstr>
      <vt:lpstr>'GVEA|0349-00'!Elect_Var</vt:lpstr>
      <vt:lpstr>'GVEA|0494-00'!Elect_Var</vt:lpstr>
      <vt:lpstr>'GVEB|0199-00'!Elect_Var</vt:lpstr>
      <vt:lpstr>Elect_Var</vt:lpstr>
      <vt:lpstr>'GVEA|0125-00'!Elect_VarBen</vt:lpstr>
      <vt:lpstr>'GVEA|0348-00'!Elect_VarBen</vt:lpstr>
      <vt:lpstr>'GVEA|0349-00'!Elect_VarBen</vt:lpstr>
      <vt:lpstr>'GVEA|0494-00'!Elect_VarBen</vt:lpstr>
      <vt:lpstr>'GVEB|0199-00'!Elect_VarBen</vt:lpstr>
      <vt:lpstr>Elect_VarBen</vt:lpstr>
      <vt:lpstr>ElectVB</vt:lpstr>
      <vt:lpstr>ElectVBBY</vt:lpstr>
      <vt:lpstr>ElectVBCHG</vt:lpstr>
      <vt:lpstr>FillRate_Avg</vt:lpstr>
      <vt:lpstr>'GVEA|0125-00'!FiscalYear</vt:lpstr>
      <vt:lpstr>'GVEA|0348-00'!FiscalYear</vt:lpstr>
      <vt:lpstr>'GVEA|0349-00'!FiscalYear</vt:lpstr>
      <vt:lpstr>'GVEA|0494-00'!FiscalYear</vt:lpstr>
      <vt:lpstr>'GVEB|0199-00'!FiscalYear</vt:lpstr>
      <vt:lpstr>FiscalYear</vt:lpstr>
      <vt:lpstr>'GVEA|0125-00'!FundName</vt:lpstr>
      <vt:lpstr>'GVEA|0348-00'!FundName</vt:lpstr>
      <vt:lpstr>'GVEA|0349-00'!FundName</vt:lpstr>
      <vt:lpstr>'GVEA|0494-00'!FundName</vt:lpstr>
      <vt:lpstr>'GVEB|0199-00'!FundName</vt:lpstr>
      <vt:lpstr>FundName</vt:lpstr>
      <vt:lpstr>'GVEA|0125-00'!FundNum</vt:lpstr>
      <vt:lpstr>'GVEA|0348-00'!FundNum</vt:lpstr>
      <vt:lpstr>'GVEA|0349-00'!FundNum</vt:lpstr>
      <vt:lpstr>'GVEA|0494-00'!FundNum</vt:lpstr>
      <vt:lpstr>'GVEB|0199-00'!FundNum</vt:lpstr>
      <vt:lpstr>FundNum</vt:lpstr>
      <vt:lpstr>'GVEA|0125-00'!FundNumber</vt:lpstr>
      <vt:lpstr>'GVEA|0348-00'!FundNumber</vt:lpstr>
      <vt:lpstr>'GVEA|0349-00'!FundNumber</vt:lpstr>
      <vt:lpstr>'GVEA|0494-00'!FundNumber</vt:lpstr>
      <vt:lpstr>'GVEB|0199-00'!FundNumber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'GVEA|0125-00'!Group_name</vt:lpstr>
      <vt:lpstr>'GVEA|0348-00'!Group_name</vt:lpstr>
      <vt:lpstr>'GVEA|0349-00'!Group_name</vt:lpstr>
      <vt:lpstr>'GVEA|0494-00'!Group_name</vt:lpstr>
      <vt:lpstr>'GVEB|0199-00'!Group_name</vt:lpstr>
      <vt:lpstr>Group_name</vt:lpstr>
      <vt:lpstr>'GVEA|0125-00'!GroupFxdBen</vt:lpstr>
      <vt:lpstr>'GVEA|0348-00'!GroupFxdBen</vt:lpstr>
      <vt:lpstr>'GVEA|0349-00'!GroupFxdBen</vt:lpstr>
      <vt:lpstr>'GVEA|0494-00'!GroupFxdBen</vt:lpstr>
      <vt:lpstr>'GVEB|0199-00'!GroupFxdBen</vt:lpstr>
      <vt:lpstr>GroupFxdBen</vt:lpstr>
      <vt:lpstr>'GVEA|0125-00'!GroupSalary</vt:lpstr>
      <vt:lpstr>'GVEA|0348-00'!GroupSalary</vt:lpstr>
      <vt:lpstr>'GVEA|0349-00'!GroupSalary</vt:lpstr>
      <vt:lpstr>'GVEA|0494-00'!GroupSalary</vt:lpstr>
      <vt:lpstr>'GVEB|0199-00'!GroupSalary</vt:lpstr>
      <vt:lpstr>GroupSalary</vt:lpstr>
      <vt:lpstr>'GVEA|0125-00'!GroupVarBen</vt:lpstr>
      <vt:lpstr>'GVEA|0348-00'!GroupVarBen</vt:lpstr>
      <vt:lpstr>'GVEA|0349-00'!GroupVarBen</vt:lpstr>
      <vt:lpstr>'GVEA|0494-00'!GroupVarBen</vt:lpstr>
      <vt:lpstr>'GVEB|0199-00'!GroupVarBen</vt:lpstr>
      <vt:lpstr>GroupVarBen</vt:lpstr>
      <vt:lpstr>GroupVB</vt:lpstr>
      <vt:lpstr>GroupVBBY</vt:lpstr>
      <vt:lpstr>GroupVBCHG</vt:lpstr>
      <vt:lpstr>GVEA012500col_1_27TH_PP</vt:lpstr>
      <vt:lpstr>GVEA012500col_DHR</vt:lpstr>
      <vt:lpstr>GVEA012500col_DHR_BY</vt:lpstr>
      <vt:lpstr>GVEA012500col_DHR_CHG</vt:lpstr>
      <vt:lpstr>GVEA012500col_FTI_SALARY_ELECT</vt:lpstr>
      <vt:lpstr>GVEA012500col_FTI_SALARY_PERM</vt:lpstr>
      <vt:lpstr>GVEA012500col_FTI_SALARY_SSDI</vt:lpstr>
      <vt:lpstr>GVEA012500col_Group_Ben</vt:lpstr>
      <vt:lpstr>GVEA012500col_Group_Salary</vt:lpstr>
      <vt:lpstr>GVEA012500col_HEALTH_ELECT</vt:lpstr>
      <vt:lpstr>GVEA012500col_HEALTH_ELECT_BY</vt:lpstr>
      <vt:lpstr>GVEA012500col_HEALTH_ELECT_CHG</vt:lpstr>
      <vt:lpstr>GVEA012500col_HEALTH_PERM</vt:lpstr>
      <vt:lpstr>GVEA012500col_HEALTH_PERM_BY</vt:lpstr>
      <vt:lpstr>GVEA012500col_HEALTH_PERM_CHG</vt:lpstr>
      <vt:lpstr>GVEA012500col_INC_FTI</vt:lpstr>
      <vt:lpstr>GVEA012500col_LIFE_INS</vt:lpstr>
      <vt:lpstr>GVEA012500col_LIFE_INS_BY</vt:lpstr>
      <vt:lpstr>GVEA012500col_LIFE_INS_CHG</vt:lpstr>
      <vt:lpstr>GVEA012500col_RETIREMENT</vt:lpstr>
      <vt:lpstr>GVEA012500col_RETIREMENT_BY</vt:lpstr>
      <vt:lpstr>GVEA012500col_RETIREMENT_CHG</vt:lpstr>
      <vt:lpstr>GVEA012500col_ROWS_PER_PCN</vt:lpstr>
      <vt:lpstr>GVEA012500col_SICK</vt:lpstr>
      <vt:lpstr>GVEA012500col_SICK_BY</vt:lpstr>
      <vt:lpstr>GVEA012500col_SICK_CHG</vt:lpstr>
      <vt:lpstr>GVEA012500col_SSDI</vt:lpstr>
      <vt:lpstr>GVEA012500col_SSDI_BY</vt:lpstr>
      <vt:lpstr>GVEA012500col_SSDI_CHG</vt:lpstr>
      <vt:lpstr>GVEA012500col_SSHI</vt:lpstr>
      <vt:lpstr>GVEA012500col_SSHI_BY</vt:lpstr>
      <vt:lpstr>GVEA012500col_SSHI_CHGv</vt:lpstr>
      <vt:lpstr>GVEA012500col_TOT_VB_ELECT</vt:lpstr>
      <vt:lpstr>GVEA012500col_TOT_VB_ELECT_BY</vt:lpstr>
      <vt:lpstr>GVEA012500col_TOT_VB_ELECT_CHG</vt:lpstr>
      <vt:lpstr>GVEA012500col_TOT_VB_PERM</vt:lpstr>
      <vt:lpstr>GVEA012500col_TOT_VB_PERM_BY</vt:lpstr>
      <vt:lpstr>GVEA012500col_TOT_VB_PERM_CHG</vt:lpstr>
      <vt:lpstr>GVEA012500col_TOTAL_ELECT_PCN_FTI</vt:lpstr>
      <vt:lpstr>GVEA012500col_TOTAL_ELECT_PCN_FTI_ALT</vt:lpstr>
      <vt:lpstr>GVEA012500col_TOTAL_PERM_PCN_FTI</vt:lpstr>
      <vt:lpstr>GVEA012500col_UNEMP_INS</vt:lpstr>
      <vt:lpstr>GVEA012500col_UNEMP_INS_BY</vt:lpstr>
      <vt:lpstr>GVEA012500col_UNEMP_INS_CHG</vt:lpstr>
      <vt:lpstr>GVEA012500col_WORKERS_COMP</vt:lpstr>
      <vt:lpstr>GVEA012500col_WORKERS_COMP_BY</vt:lpstr>
      <vt:lpstr>GVEA012500col_WORKERS_COMP_CHG</vt:lpstr>
      <vt:lpstr>GVEA034800col_1_27TH_PP</vt:lpstr>
      <vt:lpstr>GVEA034800col_DHR</vt:lpstr>
      <vt:lpstr>GVEA034800col_DHR_BY</vt:lpstr>
      <vt:lpstr>GVEA034800col_DHR_CHG</vt:lpstr>
      <vt:lpstr>GVEA034800col_FTI_SALARY_ELECT</vt:lpstr>
      <vt:lpstr>GVEA034800col_FTI_SALARY_PERM</vt:lpstr>
      <vt:lpstr>GVEA034800col_FTI_SALARY_SSDI</vt:lpstr>
      <vt:lpstr>GVEA034800col_Group_Ben</vt:lpstr>
      <vt:lpstr>GVEA034800col_Group_Salary</vt:lpstr>
      <vt:lpstr>GVEA034800col_HEALTH_ELECT</vt:lpstr>
      <vt:lpstr>GVEA034800col_HEALTH_ELECT_BY</vt:lpstr>
      <vt:lpstr>GVEA034800col_HEALTH_ELECT_CHG</vt:lpstr>
      <vt:lpstr>GVEA034800col_HEALTH_PERM</vt:lpstr>
      <vt:lpstr>GVEA034800col_HEALTH_PERM_BY</vt:lpstr>
      <vt:lpstr>GVEA034800col_HEALTH_PERM_CHG</vt:lpstr>
      <vt:lpstr>GVEA034800col_INC_FTI</vt:lpstr>
      <vt:lpstr>GVEA034800col_LIFE_INS</vt:lpstr>
      <vt:lpstr>GVEA034800col_LIFE_INS_BY</vt:lpstr>
      <vt:lpstr>GVEA034800col_LIFE_INS_CHG</vt:lpstr>
      <vt:lpstr>GVEA034800col_RETIREMENT</vt:lpstr>
      <vt:lpstr>GVEA034800col_RETIREMENT_BY</vt:lpstr>
      <vt:lpstr>GVEA034800col_RETIREMENT_CHG</vt:lpstr>
      <vt:lpstr>GVEA034800col_ROWS_PER_PCN</vt:lpstr>
      <vt:lpstr>GVEA034800col_SICK</vt:lpstr>
      <vt:lpstr>GVEA034800col_SICK_BY</vt:lpstr>
      <vt:lpstr>GVEA034800col_SICK_CHG</vt:lpstr>
      <vt:lpstr>GVEA034800col_SSDI</vt:lpstr>
      <vt:lpstr>GVEA034800col_SSDI_BY</vt:lpstr>
      <vt:lpstr>GVEA034800col_SSDI_CHG</vt:lpstr>
      <vt:lpstr>GVEA034800col_SSHI</vt:lpstr>
      <vt:lpstr>GVEA034800col_SSHI_BY</vt:lpstr>
      <vt:lpstr>GVEA034800col_SSHI_CHGv</vt:lpstr>
      <vt:lpstr>GVEA034800col_TOT_VB_ELECT</vt:lpstr>
      <vt:lpstr>GVEA034800col_TOT_VB_ELECT_BY</vt:lpstr>
      <vt:lpstr>GVEA034800col_TOT_VB_ELECT_CHG</vt:lpstr>
      <vt:lpstr>GVEA034800col_TOT_VB_PERM</vt:lpstr>
      <vt:lpstr>GVEA034800col_TOT_VB_PERM_BY</vt:lpstr>
      <vt:lpstr>GVEA034800col_TOT_VB_PERM_CHG</vt:lpstr>
      <vt:lpstr>GVEA034800col_TOTAL_ELECT_PCN_FTI</vt:lpstr>
      <vt:lpstr>GVEA034800col_TOTAL_ELECT_PCN_FTI_ALT</vt:lpstr>
      <vt:lpstr>GVEA034800col_TOTAL_PERM_PCN_FTI</vt:lpstr>
      <vt:lpstr>GVEA034800col_UNEMP_INS</vt:lpstr>
      <vt:lpstr>GVEA034800col_UNEMP_INS_BY</vt:lpstr>
      <vt:lpstr>GVEA034800col_UNEMP_INS_CHG</vt:lpstr>
      <vt:lpstr>GVEA034800col_WORKERS_COMP</vt:lpstr>
      <vt:lpstr>GVEA034800col_WORKERS_COMP_BY</vt:lpstr>
      <vt:lpstr>GVEA034800col_WORKERS_COMP_CHG</vt:lpstr>
      <vt:lpstr>GVEA034900col_1_27TH_PP</vt:lpstr>
      <vt:lpstr>GVEA034900col_DHR</vt:lpstr>
      <vt:lpstr>GVEA034900col_DHR_BY</vt:lpstr>
      <vt:lpstr>GVEA034900col_DHR_CHG</vt:lpstr>
      <vt:lpstr>GVEA034900col_FTI_SALARY_ELECT</vt:lpstr>
      <vt:lpstr>GVEA034900col_FTI_SALARY_PERM</vt:lpstr>
      <vt:lpstr>GVEA034900col_FTI_SALARY_SSDI</vt:lpstr>
      <vt:lpstr>GVEA034900col_Group_Ben</vt:lpstr>
      <vt:lpstr>GVEA034900col_Group_Salary</vt:lpstr>
      <vt:lpstr>GVEA034900col_HEALTH_ELECT</vt:lpstr>
      <vt:lpstr>GVEA034900col_HEALTH_ELECT_BY</vt:lpstr>
      <vt:lpstr>GVEA034900col_HEALTH_ELECT_CHG</vt:lpstr>
      <vt:lpstr>GVEA034900col_HEALTH_PERM</vt:lpstr>
      <vt:lpstr>GVEA034900col_HEALTH_PERM_BY</vt:lpstr>
      <vt:lpstr>GVEA034900col_HEALTH_PERM_CHG</vt:lpstr>
      <vt:lpstr>GVEA034900col_INC_FTI</vt:lpstr>
      <vt:lpstr>GVEA034900col_LIFE_INS</vt:lpstr>
      <vt:lpstr>GVEA034900col_LIFE_INS_BY</vt:lpstr>
      <vt:lpstr>GVEA034900col_LIFE_INS_CHG</vt:lpstr>
      <vt:lpstr>GVEA034900col_RETIREMENT</vt:lpstr>
      <vt:lpstr>GVEA034900col_RETIREMENT_BY</vt:lpstr>
      <vt:lpstr>GVEA034900col_RETIREMENT_CHG</vt:lpstr>
      <vt:lpstr>GVEA034900col_ROWS_PER_PCN</vt:lpstr>
      <vt:lpstr>GVEA034900col_SICK</vt:lpstr>
      <vt:lpstr>GVEA034900col_SICK_BY</vt:lpstr>
      <vt:lpstr>GVEA034900col_SICK_CHG</vt:lpstr>
      <vt:lpstr>GVEA034900col_SSDI</vt:lpstr>
      <vt:lpstr>GVEA034900col_SSDI_BY</vt:lpstr>
      <vt:lpstr>GVEA034900col_SSDI_CHG</vt:lpstr>
      <vt:lpstr>GVEA034900col_SSHI</vt:lpstr>
      <vt:lpstr>GVEA034900col_SSHI_BY</vt:lpstr>
      <vt:lpstr>GVEA034900col_SSHI_CHGv</vt:lpstr>
      <vt:lpstr>GVEA034900col_TOT_VB_ELECT</vt:lpstr>
      <vt:lpstr>GVEA034900col_TOT_VB_ELECT_BY</vt:lpstr>
      <vt:lpstr>GVEA034900col_TOT_VB_ELECT_CHG</vt:lpstr>
      <vt:lpstr>GVEA034900col_TOT_VB_PERM</vt:lpstr>
      <vt:lpstr>GVEA034900col_TOT_VB_PERM_BY</vt:lpstr>
      <vt:lpstr>GVEA034900col_TOT_VB_PERM_CHG</vt:lpstr>
      <vt:lpstr>GVEA034900col_TOTAL_ELECT_PCN_FTI</vt:lpstr>
      <vt:lpstr>GVEA034900col_TOTAL_ELECT_PCN_FTI_ALT</vt:lpstr>
      <vt:lpstr>GVEA034900col_TOTAL_PERM_PCN_FTI</vt:lpstr>
      <vt:lpstr>GVEA034900col_UNEMP_INS</vt:lpstr>
      <vt:lpstr>GVEA034900col_UNEMP_INS_BY</vt:lpstr>
      <vt:lpstr>GVEA034900col_UNEMP_INS_CHG</vt:lpstr>
      <vt:lpstr>GVEA034900col_WORKERS_COMP</vt:lpstr>
      <vt:lpstr>GVEA034900col_WORKERS_COMP_BY</vt:lpstr>
      <vt:lpstr>GVEA034900col_WORKERS_COMP_CHG</vt:lpstr>
      <vt:lpstr>GVEA049400col_1_27TH_PP</vt:lpstr>
      <vt:lpstr>GVEA049400col_DHR</vt:lpstr>
      <vt:lpstr>GVEA049400col_DHR_BY</vt:lpstr>
      <vt:lpstr>GVEA049400col_DHR_CHG</vt:lpstr>
      <vt:lpstr>GVEA049400col_FTI_SALARY_ELECT</vt:lpstr>
      <vt:lpstr>GVEA049400col_FTI_SALARY_PERM</vt:lpstr>
      <vt:lpstr>GVEA049400col_FTI_SALARY_SSDI</vt:lpstr>
      <vt:lpstr>GVEA049400col_Group_Ben</vt:lpstr>
      <vt:lpstr>GVEA049400col_Group_Salary</vt:lpstr>
      <vt:lpstr>GVEA049400col_HEALTH_ELECT</vt:lpstr>
      <vt:lpstr>GVEA049400col_HEALTH_ELECT_BY</vt:lpstr>
      <vt:lpstr>GVEA049400col_HEALTH_ELECT_CHG</vt:lpstr>
      <vt:lpstr>GVEA049400col_HEALTH_PERM</vt:lpstr>
      <vt:lpstr>GVEA049400col_HEALTH_PERM_BY</vt:lpstr>
      <vt:lpstr>GVEA049400col_HEALTH_PERM_CHG</vt:lpstr>
      <vt:lpstr>GVEA049400col_INC_FTI</vt:lpstr>
      <vt:lpstr>GVEA049400col_LIFE_INS</vt:lpstr>
      <vt:lpstr>GVEA049400col_LIFE_INS_BY</vt:lpstr>
      <vt:lpstr>GVEA049400col_LIFE_INS_CHG</vt:lpstr>
      <vt:lpstr>GVEA049400col_RETIREMENT</vt:lpstr>
      <vt:lpstr>GVEA049400col_RETIREMENT_BY</vt:lpstr>
      <vt:lpstr>GVEA049400col_RETIREMENT_CHG</vt:lpstr>
      <vt:lpstr>GVEA049400col_ROWS_PER_PCN</vt:lpstr>
      <vt:lpstr>GVEA049400col_SICK</vt:lpstr>
      <vt:lpstr>GVEA049400col_SICK_BY</vt:lpstr>
      <vt:lpstr>GVEA049400col_SICK_CHG</vt:lpstr>
      <vt:lpstr>GVEA049400col_SSDI</vt:lpstr>
      <vt:lpstr>GVEA049400col_SSDI_BY</vt:lpstr>
      <vt:lpstr>GVEA049400col_SSDI_CHG</vt:lpstr>
      <vt:lpstr>GVEA049400col_SSHI</vt:lpstr>
      <vt:lpstr>GVEA049400col_SSHI_BY</vt:lpstr>
      <vt:lpstr>GVEA049400col_SSHI_CHGv</vt:lpstr>
      <vt:lpstr>GVEA049400col_TOT_VB_ELECT</vt:lpstr>
      <vt:lpstr>GVEA049400col_TOT_VB_ELECT_BY</vt:lpstr>
      <vt:lpstr>GVEA049400col_TOT_VB_ELECT_CHG</vt:lpstr>
      <vt:lpstr>GVEA049400col_TOT_VB_PERM</vt:lpstr>
      <vt:lpstr>GVEA049400col_TOT_VB_PERM_BY</vt:lpstr>
      <vt:lpstr>GVEA049400col_TOT_VB_PERM_CHG</vt:lpstr>
      <vt:lpstr>GVEA049400col_TOTAL_ELECT_PCN_FTI</vt:lpstr>
      <vt:lpstr>GVEA049400col_TOTAL_ELECT_PCN_FTI_ALT</vt:lpstr>
      <vt:lpstr>GVEA049400col_TOTAL_PERM_PCN_FTI</vt:lpstr>
      <vt:lpstr>GVEA049400col_UNEMP_INS</vt:lpstr>
      <vt:lpstr>GVEA049400col_UNEMP_INS_BY</vt:lpstr>
      <vt:lpstr>GVEA049400col_UNEMP_INS_CHG</vt:lpstr>
      <vt:lpstr>GVEA049400col_WORKERS_COMP</vt:lpstr>
      <vt:lpstr>GVEA049400col_WORKERS_COMP_BY</vt:lpstr>
      <vt:lpstr>GVEA049400col_WORKERS_COMP_CHG</vt:lpstr>
      <vt:lpstr>GVEB019900col_1_27TH_PP</vt:lpstr>
      <vt:lpstr>GVEB019900col_DHR</vt:lpstr>
      <vt:lpstr>GVEB019900col_DHR_BY</vt:lpstr>
      <vt:lpstr>GVEB019900col_DHR_CHG</vt:lpstr>
      <vt:lpstr>GVEB019900col_FTI_SALARY_ELECT</vt:lpstr>
      <vt:lpstr>GVEB019900col_FTI_SALARY_PERM</vt:lpstr>
      <vt:lpstr>GVEB019900col_FTI_SALARY_SSDI</vt:lpstr>
      <vt:lpstr>GVEB019900col_Group_Ben</vt:lpstr>
      <vt:lpstr>GVEB019900col_Group_Salary</vt:lpstr>
      <vt:lpstr>GVEB019900col_HEALTH_ELECT</vt:lpstr>
      <vt:lpstr>GVEB019900col_HEALTH_ELECT_BY</vt:lpstr>
      <vt:lpstr>GVEB019900col_HEALTH_ELECT_CHG</vt:lpstr>
      <vt:lpstr>GVEB019900col_HEALTH_PERM</vt:lpstr>
      <vt:lpstr>GVEB019900col_HEALTH_PERM_BY</vt:lpstr>
      <vt:lpstr>GVEB019900col_HEALTH_PERM_CHG</vt:lpstr>
      <vt:lpstr>GVEB019900col_INC_FTI</vt:lpstr>
      <vt:lpstr>GVEB019900col_LIFE_INS</vt:lpstr>
      <vt:lpstr>GVEB019900col_LIFE_INS_BY</vt:lpstr>
      <vt:lpstr>GVEB019900col_LIFE_INS_CHG</vt:lpstr>
      <vt:lpstr>GVEB019900col_RETIREMENT</vt:lpstr>
      <vt:lpstr>GVEB019900col_RETIREMENT_BY</vt:lpstr>
      <vt:lpstr>GVEB019900col_RETIREMENT_CHG</vt:lpstr>
      <vt:lpstr>GVEB019900col_ROWS_PER_PCN</vt:lpstr>
      <vt:lpstr>GVEB019900col_SICK</vt:lpstr>
      <vt:lpstr>GVEB019900col_SICK_BY</vt:lpstr>
      <vt:lpstr>GVEB019900col_SICK_CHG</vt:lpstr>
      <vt:lpstr>GVEB019900col_SSDI</vt:lpstr>
      <vt:lpstr>GVEB019900col_SSDI_BY</vt:lpstr>
      <vt:lpstr>GVEB019900col_SSDI_CHG</vt:lpstr>
      <vt:lpstr>GVEB019900col_SSHI</vt:lpstr>
      <vt:lpstr>GVEB019900col_SSHI_BY</vt:lpstr>
      <vt:lpstr>GVEB019900col_SSHI_CHGv</vt:lpstr>
      <vt:lpstr>GVEB019900col_TOT_VB_ELECT</vt:lpstr>
      <vt:lpstr>GVEB019900col_TOT_VB_ELECT_BY</vt:lpstr>
      <vt:lpstr>GVEB019900col_TOT_VB_ELECT_CHG</vt:lpstr>
      <vt:lpstr>GVEB019900col_TOT_VB_PERM</vt:lpstr>
      <vt:lpstr>GVEB019900col_TOT_VB_PERM_BY</vt:lpstr>
      <vt:lpstr>GVEB019900col_TOT_VB_PERM_CHG</vt:lpstr>
      <vt:lpstr>GVEB019900col_TOTAL_ELECT_PCN_FTI</vt:lpstr>
      <vt:lpstr>GVEB019900col_TOTAL_ELECT_PCN_FTI_ALT</vt:lpstr>
      <vt:lpstr>GVEB019900col_TOTAL_PERM_PCN_FTI</vt:lpstr>
      <vt:lpstr>GVEB019900col_UNEMP_INS</vt:lpstr>
      <vt:lpstr>GVEB019900col_UNEMP_INS_BY</vt:lpstr>
      <vt:lpstr>GVEB019900col_UNEMP_INS_CHG</vt:lpstr>
      <vt:lpstr>GVEB019900col_WORKERS_COMP</vt:lpstr>
      <vt:lpstr>GVEB019900col_WORKERS_COMP_BY</vt:lpstr>
      <vt:lpstr>GVEB019900col_WORKERS_COMP_CHG</vt:lpstr>
      <vt:lpstr>Health</vt:lpstr>
      <vt:lpstr>HealthBY</vt:lpstr>
      <vt:lpstr>HealthCHG</vt:lpstr>
      <vt:lpstr>Life</vt:lpstr>
      <vt:lpstr>LifeBY</vt:lpstr>
      <vt:lpstr>LifeCHG</vt:lpstr>
      <vt:lpstr>'GVEA|0125-00'!LUMAFund</vt:lpstr>
      <vt:lpstr>'GVEA|0348-00'!LUMAFund</vt:lpstr>
      <vt:lpstr>'GVEA|0349-00'!LUMAFund</vt:lpstr>
      <vt:lpstr>'GVEA|0494-00'!LUMAFund</vt:lpstr>
      <vt:lpstr>'GVEB|0199-00'!LUMAFund</vt:lpstr>
      <vt:lpstr>LUMAFund</vt:lpstr>
      <vt:lpstr>MAXSSDI</vt:lpstr>
      <vt:lpstr>MAXSSDIBY</vt:lpstr>
      <vt:lpstr>'GVEA|0125-00'!NEW_AdjGroup</vt:lpstr>
      <vt:lpstr>'GVEA|0348-00'!NEW_AdjGroup</vt:lpstr>
      <vt:lpstr>'GVEA|0349-00'!NEW_AdjGroup</vt:lpstr>
      <vt:lpstr>'GVEA|0494-00'!NEW_AdjGroup</vt:lpstr>
      <vt:lpstr>'GVEB|0199-00'!NEW_AdjGroup</vt:lpstr>
      <vt:lpstr>NEW_AdjGroup</vt:lpstr>
      <vt:lpstr>'GVEA|0125-00'!NEW_AdjGroupSalary</vt:lpstr>
      <vt:lpstr>'GVEA|0348-00'!NEW_AdjGroupSalary</vt:lpstr>
      <vt:lpstr>'GVEA|0349-00'!NEW_AdjGroupSalary</vt:lpstr>
      <vt:lpstr>'GVEA|0494-00'!NEW_AdjGroupSalary</vt:lpstr>
      <vt:lpstr>'GVEB|0199-00'!NEW_AdjGroupSalary</vt:lpstr>
      <vt:lpstr>NEW_AdjGroupSalary</vt:lpstr>
      <vt:lpstr>'GVEA|0125-00'!NEW_AdjGroupVB</vt:lpstr>
      <vt:lpstr>'GVEA|0348-00'!NEW_AdjGroupVB</vt:lpstr>
      <vt:lpstr>'GVEA|0349-00'!NEW_AdjGroupVB</vt:lpstr>
      <vt:lpstr>'GVEA|0494-00'!NEW_AdjGroupVB</vt:lpstr>
      <vt:lpstr>'GVEB|0199-00'!NEW_AdjGroupVB</vt:lpstr>
      <vt:lpstr>NEW_AdjGroupVB</vt:lpstr>
      <vt:lpstr>'GVEA|0125-00'!NEW_AdjONLYGroup</vt:lpstr>
      <vt:lpstr>'GVEA|0348-00'!NEW_AdjONLYGroup</vt:lpstr>
      <vt:lpstr>'GVEA|0349-00'!NEW_AdjONLYGroup</vt:lpstr>
      <vt:lpstr>'GVEA|0494-00'!NEW_AdjONLYGroup</vt:lpstr>
      <vt:lpstr>'GVEB|0199-00'!NEW_AdjONLYGroup</vt:lpstr>
      <vt:lpstr>NEW_AdjONLYGroup</vt:lpstr>
      <vt:lpstr>'GVEA|0125-00'!NEW_AdjONLYGroupSalary</vt:lpstr>
      <vt:lpstr>'GVEA|0348-00'!NEW_AdjONLYGroupSalary</vt:lpstr>
      <vt:lpstr>'GVEA|0349-00'!NEW_AdjONLYGroupSalary</vt:lpstr>
      <vt:lpstr>'GVEA|0494-00'!NEW_AdjONLYGroupSalary</vt:lpstr>
      <vt:lpstr>'GVEB|0199-00'!NEW_AdjONLYGroupSalary</vt:lpstr>
      <vt:lpstr>NEW_AdjONLYGroupSalary</vt:lpstr>
      <vt:lpstr>'GVEA|0125-00'!NEW_AdjONLYGroupVB</vt:lpstr>
      <vt:lpstr>'GVEA|0348-00'!NEW_AdjONLYGroupVB</vt:lpstr>
      <vt:lpstr>'GVEA|0349-00'!NEW_AdjONLYGroupVB</vt:lpstr>
      <vt:lpstr>'GVEA|0494-00'!NEW_AdjONLYGroupVB</vt:lpstr>
      <vt:lpstr>'GVEB|0199-00'!NEW_AdjONLYGroupVB</vt:lpstr>
      <vt:lpstr>NEW_AdjONLYGroupVB</vt:lpstr>
      <vt:lpstr>'GVEA|0125-00'!NEW_AdjONLYPerm</vt:lpstr>
      <vt:lpstr>'GVEA|0348-00'!NEW_AdjONLYPerm</vt:lpstr>
      <vt:lpstr>'GVEA|0349-00'!NEW_AdjONLYPerm</vt:lpstr>
      <vt:lpstr>'GVEA|0494-00'!NEW_AdjONLYPerm</vt:lpstr>
      <vt:lpstr>'GVEB|0199-00'!NEW_AdjONLYPerm</vt:lpstr>
      <vt:lpstr>NEW_AdjONLYPerm</vt:lpstr>
      <vt:lpstr>'GVEA|0125-00'!NEW_AdjONLYPermSalary</vt:lpstr>
      <vt:lpstr>'GVEA|0348-00'!NEW_AdjONLYPermSalary</vt:lpstr>
      <vt:lpstr>'GVEA|0349-00'!NEW_AdjONLYPermSalary</vt:lpstr>
      <vt:lpstr>'GVEA|0494-00'!NEW_AdjONLYPermSalary</vt:lpstr>
      <vt:lpstr>'GVEB|0199-00'!NEW_AdjONLYPermSalary</vt:lpstr>
      <vt:lpstr>NEW_AdjONLYPermSalary</vt:lpstr>
      <vt:lpstr>'GVEA|0125-00'!NEW_AdjONLYPermVB</vt:lpstr>
      <vt:lpstr>'GVEA|0348-00'!NEW_AdjONLYPermVB</vt:lpstr>
      <vt:lpstr>'GVEA|0349-00'!NEW_AdjONLYPermVB</vt:lpstr>
      <vt:lpstr>'GVEA|0494-00'!NEW_AdjONLYPermVB</vt:lpstr>
      <vt:lpstr>'GVEB|0199-00'!NEW_AdjONLYPermVB</vt:lpstr>
      <vt:lpstr>NEW_AdjONLYPermVB</vt:lpstr>
      <vt:lpstr>'GVEA|0125-00'!NEW_AdjPerm</vt:lpstr>
      <vt:lpstr>'GVEA|0348-00'!NEW_AdjPerm</vt:lpstr>
      <vt:lpstr>'GVEA|0349-00'!NEW_AdjPerm</vt:lpstr>
      <vt:lpstr>'GVEA|0494-00'!NEW_AdjPerm</vt:lpstr>
      <vt:lpstr>'GVEB|0199-00'!NEW_AdjPerm</vt:lpstr>
      <vt:lpstr>NEW_AdjPerm</vt:lpstr>
      <vt:lpstr>'GVEA|0125-00'!NEW_AdjPermSalary</vt:lpstr>
      <vt:lpstr>'GVEA|0348-00'!NEW_AdjPermSalary</vt:lpstr>
      <vt:lpstr>'GVEA|0349-00'!NEW_AdjPermSalary</vt:lpstr>
      <vt:lpstr>'GVEA|0494-00'!NEW_AdjPermSalary</vt:lpstr>
      <vt:lpstr>'GVEB|0199-00'!NEW_AdjPermSalary</vt:lpstr>
      <vt:lpstr>NEW_AdjPermSalary</vt:lpstr>
      <vt:lpstr>'GVEA|0125-00'!NEW_AdjPermVB</vt:lpstr>
      <vt:lpstr>'GVEA|0348-00'!NEW_AdjPermVB</vt:lpstr>
      <vt:lpstr>'GVEA|0349-00'!NEW_AdjPermVB</vt:lpstr>
      <vt:lpstr>'GVEA|0494-00'!NEW_AdjPermVB</vt:lpstr>
      <vt:lpstr>'GVEB|0199-00'!NEW_AdjPermVB</vt:lpstr>
      <vt:lpstr>NEW_AdjPermVB</vt:lpstr>
      <vt:lpstr>'GVEA|0125-00'!NEW_GroupFilled</vt:lpstr>
      <vt:lpstr>'GVEA|0348-00'!NEW_GroupFilled</vt:lpstr>
      <vt:lpstr>'GVEA|0349-00'!NEW_GroupFilled</vt:lpstr>
      <vt:lpstr>'GVEA|0494-00'!NEW_GroupFilled</vt:lpstr>
      <vt:lpstr>'GVEB|0199-00'!NEW_GroupFilled</vt:lpstr>
      <vt:lpstr>NEW_GroupFilled</vt:lpstr>
      <vt:lpstr>'GVEA|0125-00'!NEW_GroupSalaryFilled</vt:lpstr>
      <vt:lpstr>'GVEA|0348-00'!NEW_GroupSalaryFilled</vt:lpstr>
      <vt:lpstr>'GVEA|0349-00'!NEW_GroupSalaryFilled</vt:lpstr>
      <vt:lpstr>'GVEA|0494-00'!NEW_GroupSalaryFilled</vt:lpstr>
      <vt:lpstr>'GVEB|0199-00'!NEW_GroupSalaryFilled</vt:lpstr>
      <vt:lpstr>NEW_GroupSalaryFilled</vt:lpstr>
      <vt:lpstr>'GVEA|0125-00'!NEW_GroupVBFilled</vt:lpstr>
      <vt:lpstr>'GVEA|0348-00'!NEW_GroupVBFilled</vt:lpstr>
      <vt:lpstr>'GVEA|0349-00'!NEW_GroupVBFilled</vt:lpstr>
      <vt:lpstr>'GVEA|0494-00'!NEW_GroupVBFilled</vt:lpstr>
      <vt:lpstr>'GVEB|0199-00'!NEW_GroupVBFilled</vt:lpstr>
      <vt:lpstr>NEW_GroupVBFilled</vt:lpstr>
      <vt:lpstr>'GVEA|0125-00'!NEW_PermFilled</vt:lpstr>
      <vt:lpstr>'GVEA|0348-00'!NEW_PermFilled</vt:lpstr>
      <vt:lpstr>'GVEA|0349-00'!NEW_PermFilled</vt:lpstr>
      <vt:lpstr>'GVEA|0494-00'!NEW_PermFilled</vt:lpstr>
      <vt:lpstr>'GVEB|0199-00'!NEW_PermFilled</vt:lpstr>
      <vt:lpstr>NEW_PermFilled</vt:lpstr>
      <vt:lpstr>'GVEA|0125-00'!NEW_PermSalaryFilled</vt:lpstr>
      <vt:lpstr>'GVEA|0348-00'!NEW_PermSalaryFilled</vt:lpstr>
      <vt:lpstr>'GVEA|0349-00'!NEW_PermSalaryFilled</vt:lpstr>
      <vt:lpstr>'GVEA|0494-00'!NEW_PermSalaryFilled</vt:lpstr>
      <vt:lpstr>'GVEB|0199-00'!NEW_PermSalaryFilled</vt:lpstr>
      <vt:lpstr>NEW_PermSalaryFilled</vt:lpstr>
      <vt:lpstr>'GVEA|0125-00'!NEW_PermVBFilled</vt:lpstr>
      <vt:lpstr>'GVEA|0348-00'!NEW_PermVBFilled</vt:lpstr>
      <vt:lpstr>'GVEA|0349-00'!NEW_PermVBFilled</vt:lpstr>
      <vt:lpstr>'GVEA|0494-00'!NEW_PermVBFilled</vt:lpstr>
      <vt:lpstr>'GVEB|0199-00'!NEW_PermVBFilled</vt:lpstr>
      <vt:lpstr>NEW_PermVBFilled</vt:lpstr>
      <vt:lpstr>'GVEA|0125-00'!OneTimePC_Total</vt:lpstr>
      <vt:lpstr>'GVEA|0348-00'!OneTimePC_Total</vt:lpstr>
      <vt:lpstr>'GVEA|0349-00'!OneTimePC_Total</vt:lpstr>
      <vt:lpstr>'GVEA|0494-00'!OneTimePC_Total</vt:lpstr>
      <vt:lpstr>'GVEB|0199-00'!OneTimePC_Total</vt:lpstr>
      <vt:lpstr>OneTimePC_Total</vt:lpstr>
      <vt:lpstr>'GVEA|0125-00'!OrigApprop</vt:lpstr>
      <vt:lpstr>'GVEA|0348-00'!OrigApprop</vt:lpstr>
      <vt:lpstr>'GVEA|0349-00'!OrigApprop</vt:lpstr>
      <vt:lpstr>'GVEA|0494-00'!OrigApprop</vt:lpstr>
      <vt:lpstr>'GVEB|0199-00'!OrigApprop</vt:lpstr>
      <vt:lpstr>OrigApprop</vt:lpstr>
      <vt:lpstr>'GVEA|0125-00'!perm_name</vt:lpstr>
      <vt:lpstr>'GVEA|0348-00'!perm_name</vt:lpstr>
      <vt:lpstr>'GVEA|0349-00'!perm_name</vt:lpstr>
      <vt:lpstr>'GVEA|0494-00'!perm_name</vt:lpstr>
      <vt:lpstr>'GVEB|0199-00'!perm_name</vt:lpstr>
      <vt:lpstr>perm_name</vt:lpstr>
      <vt:lpstr>'GVEA|0125-00'!PermFTP</vt:lpstr>
      <vt:lpstr>'GVEA|0348-00'!PermFTP</vt:lpstr>
      <vt:lpstr>'GVEA|0349-00'!PermFTP</vt:lpstr>
      <vt:lpstr>'GVEA|0494-00'!PermFTP</vt:lpstr>
      <vt:lpstr>'GVEB|0199-00'!PermFTP</vt:lpstr>
      <vt:lpstr>PermFTP</vt:lpstr>
      <vt:lpstr>'GVEA|0125-00'!PermFxdBen</vt:lpstr>
      <vt:lpstr>'GVEA|0348-00'!PermFxdBen</vt:lpstr>
      <vt:lpstr>'GVEA|0349-00'!PermFxdBen</vt:lpstr>
      <vt:lpstr>'GVEA|0494-00'!PermFxdBen</vt:lpstr>
      <vt:lpstr>'GVEB|0199-00'!PermFxdBen</vt:lpstr>
      <vt:lpstr>PermFxdBen</vt:lpstr>
      <vt:lpstr>'GVEA|0125-00'!PermFxdBenChg</vt:lpstr>
      <vt:lpstr>'GVEA|0348-00'!PermFxdBenChg</vt:lpstr>
      <vt:lpstr>'GVEA|0349-00'!PermFxdBenChg</vt:lpstr>
      <vt:lpstr>'GVEA|0494-00'!PermFxdBenChg</vt:lpstr>
      <vt:lpstr>'GVEB|0199-00'!PermFxdBenChg</vt:lpstr>
      <vt:lpstr>PermFxdBenChg</vt:lpstr>
      <vt:lpstr>'GVEA|0125-00'!PermFxdChg</vt:lpstr>
      <vt:lpstr>'GVEA|0348-00'!PermFxdChg</vt:lpstr>
      <vt:lpstr>'GVEA|0349-00'!PermFxdChg</vt:lpstr>
      <vt:lpstr>'GVEA|0494-00'!PermFxdChg</vt:lpstr>
      <vt:lpstr>'GVEB|0199-00'!PermFxdChg</vt:lpstr>
      <vt:lpstr>PermFxdChg</vt:lpstr>
      <vt:lpstr>'GVEA|0125-00'!PermSalary</vt:lpstr>
      <vt:lpstr>'GVEA|0348-00'!PermSalary</vt:lpstr>
      <vt:lpstr>'GVEA|0349-00'!PermSalary</vt:lpstr>
      <vt:lpstr>'GVEA|0494-00'!PermSalary</vt:lpstr>
      <vt:lpstr>'GVEB|0199-00'!PermSalary</vt:lpstr>
      <vt:lpstr>PermSalary</vt:lpstr>
      <vt:lpstr>'GVEA|0125-00'!PermVarBen</vt:lpstr>
      <vt:lpstr>'GVEA|0348-00'!PermVarBen</vt:lpstr>
      <vt:lpstr>'GVEA|0349-00'!PermVarBen</vt:lpstr>
      <vt:lpstr>'GVEA|0494-00'!PermVarBen</vt:lpstr>
      <vt:lpstr>'GVEB|0199-00'!PermVarBen</vt:lpstr>
      <vt:lpstr>PermVarBen</vt:lpstr>
      <vt:lpstr>'GVEA|0125-00'!PermVarBenChg</vt:lpstr>
      <vt:lpstr>'GVEA|0348-00'!PermVarBenChg</vt:lpstr>
      <vt:lpstr>'GVEA|0349-00'!PermVarBenChg</vt:lpstr>
      <vt:lpstr>'GVEA|0494-00'!PermVarBenChg</vt:lpstr>
      <vt:lpstr>'GVEB|0199-00'!PermVarBenChg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'GVEA|0125-00'!Print_Area</vt:lpstr>
      <vt:lpstr>'GVEA|0348-00'!Print_Area</vt:lpstr>
      <vt:lpstr>'GVEA|0349-00'!Print_Area</vt:lpstr>
      <vt:lpstr>'GVEA|0494-00'!Print_Area</vt:lpstr>
      <vt:lpstr>'GVEB|0199-00'!Print_Area</vt:lpstr>
      <vt:lpstr>'GVEA|0125-00'!Prog_Unadjusted_Total</vt:lpstr>
      <vt:lpstr>'GVEA|0348-00'!Prog_Unadjusted_Total</vt:lpstr>
      <vt:lpstr>'GVEA|0349-00'!Prog_Unadjusted_Total</vt:lpstr>
      <vt:lpstr>'GVEA|0494-00'!Prog_Unadjusted_Total</vt:lpstr>
      <vt:lpstr>'GVEB|0199-00'!Prog_Unadjusted_Total</vt:lpstr>
      <vt:lpstr>Prog_Unadjusted_Total</vt:lpstr>
      <vt:lpstr>'GVEA|0125-00'!Program</vt:lpstr>
      <vt:lpstr>'GVEA|0348-00'!Program</vt:lpstr>
      <vt:lpstr>'GVEA|0349-00'!Program</vt:lpstr>
      <vt:lpstr>'GVEA|0494-00'!Program</vt:lpstr>
      <vt:lpstr>'GVEB|0199-00'!Program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'GVEA|0125-00'!RoundedAppropSalary</vt:lpstr>
      <vt:lpstr>'GVEA|0348-00'!RoundedAppropSalary</vt:lpstr>
      <vt:lpstr>'GVEA|0349-00'!RoundedAppropSalary</vt:lpstr>
      <vt:lpstr>'GVEA|0494-00'!RoundedAppropSalary</vt:lpstr>
      <vt:lpstr>'GVEB|0199-00'!RoundedAppropSalary</vt:lpstr>
      <vt:lpstr>RoundedAppropSalary</vt:lpstr>
      <vt:lpstr>'GVEA|0125-00'!SalaryChg</vt:lpstr>
      <vt:lpstr>'GVEA|0348-00'!SalaryChg</vt:lpstr>
      <vt:lpstr>'GVEA|0349-00'!SalaryChg</vt:lpstr>
      <vt:lpstr>'GVEA|0494-00'!SalaryChg</vt:lpstr>
      <vt:lpstr>'GVEB|0199-00'!SalaryChg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200 B6</dc:title>
  <dc:subject>B6</dc:subject>
  <dc:creator>Shane Winslow</dc:creator>
  <cp:lastModifiedBy>Alex Williamson</cp:lastModifiedBy>
  <cp:lastPrinted>2019-06-21T15:46:35Z</cp:lastPrinted>
  <dcterms:created xsi:type="dcterms:W3CDTF">2013-05-01T19:55:41Z</dcterms:created>
  <dcterms:modified xsi:type="dcterms:W3CDTF">2022-07-25T19:26:04Z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