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2FC42254-11CE-4F5E-8BA5-4F09AE8EF3D8}" xr6:coauthVersionLast="47" xr6:coauthVersionMax="47" xr10:uidLastSave="{00000000-0000-0000-0000-000000000000}"/>
  <bookViews>
    <workbookView xWindow="-25845" yWindow="2895" windowWidth="21600" windowHeight="11325" xr2:uid="{00000000-000D-0000-FFFF-FFFF00000000}"/>
  </bookViews>
  <sheets>
    <sheet name="FIAA|0229-00" sheetId="12" r:id="rId1"/>
    <sheet name="FIAA|0325-27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'FIAA|0229-00'!$H$39</definedName>
    <definedName name="AdjGroupHlth" localSheetId="1">'FIAA|0325-27'!$H$39</definedName>
    <definedName name="AdjGroupHlth">'B6'!$H$39</definedName>
    <definedName name="AdjGroupSalary" localSheetId="0">'FIAA|0229-00'!$G$39</definedName>
    <definedName name="AdjGroupSalary" localSheetId="1">'FIAA|0325-27'!$G$39</definedName>
    <definedName name="AdjGroupSalary">'B6'!$G$39</definedName>
    <definedName name="AdjGroupVB" localSheetId="0">'FIAA|0229-00'!$I$39</definedName>
    <definedName name="AdjGroupVB" localSheetId="1">'FIAA|0325-27'!$I$39</definedName>
    <definedName name="AdjGroupVB">'B6'!$I$39</definedName>
    <definedName name="AdjGroupVBBY" localSheetId="0">'FIAA|0229-00'!$M$39</definedName>
    <definedName name="AdjGroupVBBY" localSheetId="1">'FIAA|0325-27'!$M$39</definedName>
    <definedName name="AdjGroupVBBY">'B6'!$M$39</definedName>
    <definedName name="AdjPermHlth" localSheetId="0">'FIAA|0229-00'!$H$38</definedName>
    <definedName name="AdjPermHlth" localSheetId="1">'FIAA|0325-27'!$H$38</definedName>
    <definedName name="AdjPermHlth">'B6'!$H$38</definedName>
    <definedName name="AdjPermHlthBY" localSheetId="0">'FIAA|0229-00'!$L$38</definedName>
    <definedName name="AdjPermHlthBY" localSheetId="1">'FIAA|0325-27'!$L$38</definedName>
    <definedName name="AdjPermHlthBY">'B6'!$L$38</definedName>
    <definedName name="AdjPermSalary" localSheetId="0">'FIAA|0229-00'!$G$38</definedName>
    <definedName name="AdjPermSalary" localSheetId="1">'FIAA|0325-27'!$G$38</definedName>
    <definedName name="AdjPermSalary">'B6'!$G$38</definedName>
    <definedName name="AdjPermVB" localSheetId="0">'FIAA|0229-00'!$I$38</definedName>
    <definedName name="AdjPermVB" localSheetId="1">'FIAA|0325-27'!$I$38</definedName>
    <definedName name="AdjPermVB">'B6'!$I$38</definedName>
    <definedName name="AdjPermVBBY" localSheetId="0">'FIAA|0229-00'!$M$38</definedName>
    <definedName name="AdjPermVBBY" localSheetId="1">'FIAA|0325-27'!$M$38</definedName>
    <definedName name="AdjPermVBBY">'B6'!$M$38</definedName>
    <definedName name="AdjustedTotal" localSheetId="0">'FIAA|0229-00'!$J$16</definedName>
    <definedName name="AdjustedTotal" localSheetId="1">'FIAA|0325-27'!$J$16</definedName>
    <definedName name="AdjustedTotal">'B6'!$J$16</definedName>
    <definedName name="AgencyNum" localSheetId="0">'FIAA|0229-00'!$M$1</definedName>
    <definedName name="AgencyNum" localSheetId="1">'FIAA|0325-27'!$M$1</definedName>
    <definedName name="AgencyNum">'B6'!$M$1</definedName>
    <definedName name="AppropFTP" localSheetId="0">'FIAA|0229-00'!$F$15</definedName>
    <definedName name="AppropFTP" localSheetId="1">'FIAA|0325-27'!$F$15</definedName>
    <definedName name="AppropFTP">'B6'!$F$15</definedName>
    <definedName name="AppropTotal" localSheetId="0">'FIAA|0229-00'!$J$15</definedName>
    <definedName name="AppropTotal" localSheetId="1">'FIAA|0325-27'!$J$15</definedName>
    <definedName name="AppropTotal">'B6'!$J$15</definedName>
    <definedName name="AtZHealth" localSheetId="0">'FIAA|0229-00'!$H$45</definedName>
    <definedName name="AtZHealth" localSheetId="1">'FIAA|0325-27'!$H$45</definedName>
    <definedName name="AtZHealth">'B6'!$H$45</definedName>
    <definedName name="AtZSalary" localSheetId="0">'FIAA|0229-00'!$G$45</definedName>
    <definedName name="AtZSalary" localSheetId="1">'FIAA|0325-27'!$G$45</definedName>
    <definedName name="AtZSalary">'B6'!$G$45</definedName>
    <definedName name="AtZTotal" localSheetId="0">'FIAA|0229-00'!$J$45</definedName>
    <definedName name="AtZTotal" localSheetId="1">'FIAA|0325-27'!$J$45</definedName>
    <definedName name="AtZTotal">'B6'!$J$45</definedName>
    <definedName name="AtZVarBen" localSheetId="0">'FIAA|0229-00'!$I$45</definedName>
    <definedName name="AtZVarBen" localSheetId="1">'FIAA|0325-27'!$I$45</definedName>
    <definedName name="AtZVarBen">'B6'!$I$45</definedName>
    <definedName name="BudgetUnit" localSheetId="0">'FIAA|0229-00'!$M$3</definedName>
    <definedName name="BudgetUnit" localSheetId="1">'FIAA|0325-27'!$M$3</definedName>
    <definedName name="BudgetUnit">'B6'!$M$3</definedName>
    <definedName name="BudgetYear">Benefits!$D$4</definedName>
    <definedName name="CECGroup">Benefits!$C$39</definedName>
    <definedName name="CECOrigElectSalary" localSheetId="0">'FIAA|0229-00'!$G$74</definedName>
    <definedName name="CECOrigElectSalary" localSheetId="1">'FIAA|0325-27'!$G$74</definedName>
    <definedName name="CECOrigElectSalary">'B6'!$G$74</definedName>
    <definedName name="CECOrigElectVB" localSheetId="0">'FIAA|0229-00'!$I$74</definedName>
    <definedName name="CECOrigElectVB" localSheetId="1">'FIAA|0325-27'!$I$74</definedName>
    <definedName name="CECOrigElectVB">'B6'!$I$74</definedName>
    <definedName name="CECOrigGroupSalary" localSheetId="0">'FIAA|0229-00'!$G$73</definedName>
    <definedName name="CECOrigGroupSalary" localSheetId="1">'FIAA|0325-27'!$G$73</definedName>
    <definedName name="CECOrigGroupSalary">'B6'!$G$73</definedName>
    <definedName name="CECOrigGroupVB" localSheetId="0">'FIAA|0229-00'!$I$73</definedName>
    <definedName name="CECOrigGroupVB" localSheetId="1">'FIAA|0325-27'!$I$73</definedName>
    <definedName name="CECOrigGroupVB">'B6'!$I$73</definedName>
    <definedName name="CECOrigPermSalary" localSheetId="0">'FIAA|0229-00'!$G$72</definedName>
    <definedName name="CECOrigPermSalary" localSheetId="1">'FIAA|0325-27'!$G$72</definedName>
    <definedName name="CECOrigPermSalary">'B6'!$G$72</definedName>
    <definedName name="CECOrigPermVB" localSheetId="0">'FIAA|0229-00'!$I$72</definedName>
    <definedName name="CECOrigPermVB" localSheetId="1">'FIAA|0325-27'!$I$72</definedName>
    <definedName name="CECOrigPermVB">'B6'!$I$72</definedName>
    <definedName name="CECPerm">Benefits!$C$38</definedName>
    <definedName name="CECpermCalc" localSheetId="0">'FIAA|0229-00'!$E$72</definedName>
    <definedName name="CECpermCalc" localSheetId="1">'FIAA|0325-27'!$E$72</definedName>
    <definedName name="CECpermCalc">'B6'!$E$72</definedName>
    <definedName name="Department" localSheetId="0">'FIAA|0229-00'!$D$1</definedName>
    <definedName name="Department" localSheetId="1">'FIAA|0325-27'!$D$1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'FIAA|0229-00'!$D$2</definedName>
    <definedName name="Division" localSheetId="1">'FIAA|0325-27'!$D$2</definedName>
    <definedName name="Division">'B6'!$D$2</definedName>
    <definedName name="DUCECElect" localSheetId="0">'FIAA|0229-00'!$J$74</definedName>
    <definedName name="DUCECElect" localSheetId="1">'FIAA|0325-27'!$J$74</definedName>
    <definedName name="DUCECElect">'B6'!$J$74</definedName>
    <definedName name="DUCECGroup" localSheetId="0">'FIAA|0229-00'!$J$73</definedName>
    <definedName name="DUCECGroup" localSheetId="1">'FIAA|0325-27'!$J$73</definedName>
    <definedName name="DUCECGroup">'B6'!$J$73</definedName>
    <definedName name="DUCECPerm" localSheetId="0">'FIAA|0229-00'!$J$72</definedName>
    <definedName name="DUCECPerm" localSheetId="1">'FIAA|0325-27'!$J$72</definedName>
    <definedName name="DUCECPerm">'B6'!$J$72</definedName>
    <definedName name="DUEleven" localSheetId="0">'FIAA|0229-00'!$J$75</definedName>
    <definedName name="DUEleven" localSheetId="1">'FIAA|0325-27'!$J$75</definedName>
    <definedName name="DUEleven">'B6'!$J$75</definedName>
    <definedName name="DUHealthBen" localSheetId="0">'FIAA|0229-00'!$J$68</definedName>
    <definedName name="DUHealthBen" localSheetId="1">'FIAA|0325-27'!$J$68</definedName>
    <definedName name="DUHealthBen">'B6'!$J$68</definedName>
    <definedName name="DUNine" localSheetId="0">'FIAA|0229-00'!$J$67</definedName>
    <definedName name="DUNine" localSheetId="1">'FIAA|0325-27'!$J$67</definedName>
    <definedName name="DUNine">'B6'!$J$67</definedName>
    <definedName name="DUThirteen" localSheetId="0">'FIAA|0229-00'!$J$80</definedName>
    <definedName name="DUThirteen" localSheetId="1">'FIAA|0325-27'!$J$80</definedName>
    <definedName name="DUThirteen">'B6'!$J$80</definedName>
    <definedName name="DUVariableBen" localSheetId="0">'FIAA|0229-00'!$J$69</definedName>
    <definedName name="DUVariableBen" localSheetId="1">'FIAA|0325-27'!$J$69</definedName>
    <definedName name="DUVariableBen">'B6'!$J$69</definedName>
    <definedName name="Elect_chg_health" localSheetId="0">'FIAA|0229-00'!$L$12</definedName>
    <definedName name="Elect_chg_health" localSheetId="1">'FIAA|0325-27'!$L$12</definedName>
    <definedName name="Elect_chg_health">'B6'!$L$12</definedName>
    <definedName name="Elect_chg_Var" localSheetId="0">'FIAA|0229-00'!$M$12</definedName>
    <definedName name="Elect_chg_Var" localSheetId="1">'FIAA|0325-27'!$M$12</definedName>
    <definedName name="Elect_chg_Var">'B6'!$M$12</definedName>
    <definedName name="elect_FTP" localSheetId="0">'FIAA|0229-00'!$F$12</definedName>
    <definedName name="elect_FTP" localSheetId="1">'FIAA|0325-27'!$F$12</definedName>
    <definedName name="elect_FTP">'B6'!$F$12</definedName>
    <definedName name="Elect_health" localSheetId="0">'FIAA|0229-00'!$H$12</definedName>
    <definedName name="Elect_health" localSheetId="1">'FIAA|0325-27'!$H$12</definedName>
    <definedName name="Elect_health">'B6'!$H$12</definedName>
    <definedName name="Elect_name" localSheetId="0">'FIAA|0229-00'!$C$12</definedName>
    <definedName name="Elect_name" localSheetId="1">'FIAA|0325-27'!$C$12</definedName>
    <definedName name="Elect_name">'B6'!$C$12</definedName>
    <definedName name="Elect_salary" localSheetId="0">'FIAA|0229-00'!$G$12</definedName>
    <definedName name="Elect_salary" localSheetId="1">'FIAA|0325-27'!$G$12</definedName>
    <definedName name="Elect_salary">'B6'!$G$12</definedName>
    <definedName name="Elect_Var" localSheetId="0">'FIAA|0229-00'!$I$12</definedName>
    <definedName name="Elect_Var" localSheetId="1">'FIAA|0325-27'!$I$12</definedName>
    <definedName name="Elect_Var">'B6'!$I$12</definedName>
    <definedName name="Elect_VarBen" localSheetId="0">'FIAA|0229-00'!$I$12</definedName>
    <definedName name="Elect_VarBen" localSheetId="1">'FIAA|0325-27'!$I$12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AA022900col_1_27TH_PP">Data!$BA$80</definedName>
    <definedName name="FIAA022900col_DHR">Data!$BI$80</definedName>
    <definedName name="FIAA022900col_DHR_BY">Data!$BU$80</definedName>
    <definedName name="FIAA022900col_DHR_CHG">Data!$CG$80</definedName>
    <definedName name="FIAA022900col_FTI_SALARY_ELECT">Data!$AZ$80</definedName>
    <definedName name="FIAA022900col_FTI_SALARY_PERM">Data!$AY$80</definedName>
    <definedName name="FIAA022900col_FTI_SALARY_SSDI">Data!$AX$80</definedName>
    <definedName name="FIAA022900col_Group_Ben">Data!$CM$80</definedName>
    <definedName name="FIAA022900col_Group_Salary">Data!$CL$80</definedName>
    <definedName name="FIAA022900col_HEALTH_ELECT">Data!$BC$80</definedName>
    <definedName name="FIAA022900col_HEALTH_ELECT_BY">Data!$BO$80</definedName>
    <definedName name="FIAA022900col_HEALTH_ELECT_CHG">Data!$CA$80</definedName>
    <definedName name="FIAA022900col_HEALTH_PERM">Data!$BB$80</definedName>
    <definedName name="FIAA022900col_HEALTH_PERM_BY">Data!$BN$80</definedName>
    <definedName name="FIAA022900col_HEALTH_PERM_CHG">Data!$BZ$80</definedName>
    <definedName name="FIAA022900col_INC_FTI">Data!$AS$80</definedName>
    <definedName name="FIAA022900col_LIFE_INS">Data!$BG$80</definedName>
    <definedName name="FIAA022900col_LIFE_INS_BY">Data!$BS$80</definedName>
    <definedName name="FIAA022900col_LIFE_INS_CHG">Data!$CE$80</definedName>
    <definedName name="FIAA022900col_RETIREMENT">Data!$BF$80</definedName>
    <definedName name="FIAA022900col_RETIREMENT_BY">Data!$BR$80</definedName>
    <definedName name="FIAA022900col_RETIREMENT_CHG">Data!$CD$80</definedName>
    <definedName name="FIAA022900col_ROWS_PER_PCN">Data!$AW$80</definedName>
    <definedName name="FIAA022900col_SICK">Data!$BK$80</definedName>
    <definedName name="FIAA022900col_SICK_BY">Data!$BW$80</definedName>
    <definedName name="FIAA022900col_SICK_CHG">Data!$CI$80</definedName>
    <definedName name="FIAA022900col_SSDI">Data!$BD$80</definedName>
    <definedName name="FIAA022900col_SSDI_BY">Data!$BP$80</definedName>
    <definedName name="FIAA022900col_SSDI_CHG">Data!$CB$80</definedName>
    <definedName name="FIAA022900col_SSHI">Data!$BE$80</definedName>
    <definedName name="FIAA022900col_SSHI_BY">Data!$BQ$80</definedName>
    <definedName name="FIAA022900col_SSHI_CHGv">Data!$CC$80</definedName>
    <definedName name="FIAA022900col_TOT_VB_ELECT">Data!$BM$80</definedName>
    <definedName name="FIAA022900col_TOT_VB_ELECT_BY">Data!$BY$80</definedName>
    <definedName name="FIAA022900col_TOT_VB_ELECT_CHG">Data!$CK$80</definedName>
    <definedName name="FIAA022900col_TOT_VB_PERM">Data!$BL$80</definedName>
    <definedName name="FIAA022900col_TOT_VB_PERM_BY">Data!$BX$80</definedName>
    <definedName name="FIAA022900col_TOT_VB_PERM_CHG">Data!$CJ$80</definedName>
    <definedName name="FIAA022900col_TOTAL_ELECT_PCN_FTI">Data!$AT$80</definedName>
    <definedName name="FIAA022900col_TOTAL_ELECT_PCN_FTI_ALT">Data!$AV$80</definedName>
    <definedName name="FIAA022900col_TOTAL_PERM_PCN_FTI">Data!$AU$80</definedName>
    <definedName name="FIAA022900col_UNEMP_INS">Data!$BH$80</definedName>
    <definedName name="FIAA022900col_UNEMP_INS_BY">Data!$BT$80</definedName>
    <definedName name="FIAA022900col_UNEMP_INS_CHG">Data!$CF$80</definedName>
    <definedName name="FIAA022900col_WORKERS_COMP">Data!$BJ$80</definedName>
    <definedName name="FIAA022900col_WORKERS_COMP_BY">Data!$BV$80</definedName>
    <definedName name="FIAA022900col_WORKERS_COMP_CHG">Data!$CH$80</definedName>
    <definedName name="FIAA032527col_1_27TH_PP">Data!$BA$82</definedName>
    <definedName name="FIAA032527col_DHR">Data!$BI$82</definedName>
    <definedName name="FIAA032527col_DHR_BY">Data!$BU$82</definedName>
    <definedName name="FIAA032527col_DHR_CHG">Data!$CG$82</definedName>
    <definedName name="FIAA032527col_FTI_SALARY_ELECT">Data!$AZ$82</definedName>
    <definedName name="FIAA032527col_FTI_SALARY_PERM">Data!$AY$82</definedName>
    <definedName name="FIAA032527col_FTI_SALARY_SSDI">Data!$AX$82</definedName>
    <definedName name="FIAA032527col_Group_Ben">Data!$CM$82</definedName>
    <definedName name="FIAA032527col_Group_Salary">Data!$CL$82</definedName>
    <definedName name="FIAA032527col_HEALTH_ELECT">Data!$BC$82</definedName>
    <definedName name="FIAA032527col_HEALTH_ELECT_BY">Data!$BO$82</definedName>
    <definedName name="FIAA032527col_HEALTH_ELECT_CHG">Data!$CA$82</definedName>
    <definedName name="FIAA032527col_HEALTH_PERM">Data!$BB$82</definedName>
    <definedName name="FIAA032527col_HEALTH_PERM_BY">Data!$BN$82</definedName>
    <definedName name="FIAA032527col_HEALTH_PERM_CHG">Data!$BZ$82</definedName>
    <definedName name="FIAA032527col_INC_FTI">Data!$AS$82</definedName>
    <definedName name="FIAA032527col_LIFE_INS">Data!$BG$82</definedName>
    <definedName name="FIAA032527col_LIFE_INS_BY">Data!$BS$82</definedName>
    <definedName name="FIAA032527col_LIFE_INS_CHG">Data!$CE$82</definedName>
    <definedName name="FIAA032527col_RETIREMENT">Data!$BF$82</definedName>
    <definedName name="FIAA032527col_RETIREMENT_BY">Data!$BR$82</definedName>
    <definedName name="FIAA032527col_RETIREMENT_CHG">Data!$CD$82</definedName>
    <definedName name="FIAA032527col_ROWS_PER_PCN">Data!$AW$82</definedName>
    <definedName name="FIAA032527col_SICK">Data!$BK$82</definedName>
    <definedName name="FIAA032527col_SICK_BY">Data!$BW$82</definedName>
    <definedName name="FIAA032527col_SICK_CHG">Data!$CI$82</definedName>
    <definedName name="FIAA032527col_SSDI">Data!$BD$82</definedName>
    <definedName name="FIAA032527col_SSDI_BY">Data!$BP$82</definedName>
    <definedName name="FIAA032527col_SSDI_CHG">Data!$CB$82</definedName>
    <definedName name="FIAA032527col_SSHI">Data!$BE$82</definedName>
    <definedName name="FIAA032527col_SSHI_BY">Data!$BQ$82</definedName>
    <definedName name="FIAA032527col_SSHI_CHGv">Data!$CC$82</definedName>
    <definedName name="FIAA032527col_TOT_VB_ELECT">Data!$BM$82</definedName>
    <definedName name="FIAA032527col_TOT_VB_ELECT_BY">Data!$BY$82</definedName>
    <definedName name="FIAA032527col_TOT_VB_ELECT_CHG">Data!$CK$82</definedName>
    <definedName name="FIAA032527col_TOT_VB_PERM">Data!$BL$82</definedName>
    <definedName name="FIAA032527col_TOT_VB_PERM_BY">Data!$BX$82</definedName>
    <definedName name="FIAA032527col_TOT_VB_PERM_CHG">Data!$CJ$82</definedName>
    <definedName name="FIAA032527col_TOTAL_ELECT_PCN_FTI">Data!$AT$82</definedName>
    <definedName name="FIAA032527col_TOTAL_ELECT_PCN_FTI_ALT">Data!$AV$82</definedName>
    <definedName name="FIAA032527col_TOTAL_PERM_PCN_FTI">Data!$AU$82</definedName>
    <definedName name="FIAA032527col_UNEMP_INS">Data!$BH$82</definedName>
    <definedName name="FIAA032527col_UNEMP_INS_BY">Data!$BT$82</definedName>
    <definedName name="FIAA032527col_UNEMP_INS_CHG">Data!$CF$82</definedName>
    <definedName name="FIAA032527col_WORKERS_COMP">Data!$BJ$82</definedName>
    <definedName name="FIAA032527col_WORKERS_COMP_BY">Data!$BV$82</definedName>
    <definedName name="FIAA032527col_WORKERS_COMP_CHG">Data!$CH$82</definedName>
    <definedName name="FillRate_Avg">Benefits!$C$40</definedName>
    <definedName name="FillRateAvg_B6" localSheetId="0">'FIAA|0229-00'!#REF!</definedName>
    <definedName name="FillRateAvg_B6" localSheetId="1">'FIAA|0325-27'!#REF!</definedName>
    <definedName name="FillRateAvg_B6">'B6'!#REF!</definedName>
    <definedName name="FiscalYear" localSheetId="0">'FIAA|0229-00'!$M$4</definedName>
    <definedName name="FiscalYear" localSheetId="1">'FIAA|0325-27'!$M$4</definedName>
    <definedName name="FiscalYear">'B6'!$M$4</definedName>
    <definedName name="FundName" localSheetId="0">'FIAA|0229-00'!$I$5</definedName>
    <definedName name="FundName" localSheetId="1">'FIAA|0325-27'!$I$5</definedName>
    <definedName name="FundName">'B6'!$I$5</definedName>
    <definedName name="FundNum" localSheetId="0">'FIAA|0229-00'!$N$5</definedName>
    <definedName name="FundNum" localSheetId="1">'FIAA|0325-27'!$N$5</definedName>
    <definedName name="FundNum">'B6'!$N$5</definedName>
    <definedName name="FundNumber" localSheetId="0">'FIAA|0229-00'!$N$5</definedName>
    <definedName name="FundNumber" localSheetId="1">'FIAA|0325-27'!$N$5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'FIAA|0229-00'!$C$11</definedName>
    <definedName name="Group_name" localSheetId="1">'FIAA|0325-27'!$C$11</definedName>
    <definedName name="Group_name">'B6'!$C$11</definedName>
    <definedName name="GroupFxdBen" localSheetId="0">'FIAA|0229-00'!$H$11</definedName>
    <definedName name="GroupFxdBen" localSheetId="1">'FIAA|0325-27'!$H$11</definedName>
    <definedName name="GroupFxdBen">'B6'!$H$11</definedName>
    <definedName name="GroupSalary" localSheetId="0">'FIAA|0229-00'!$G$11</definedName>
    <definedName name="GroupSalary" localSheetId="1">'FIAA|0325-27'!$G$11</definedName>
    <definedName name="GroupSalary">'B6'!$G$11</definedName>
    <definedName name="GroupVarBen" localSheetId="0">'FIAA|0229-00'!$I$11</definedName>
    <definedName name="GroupVarBen" localSheetId="1">'FIAA|0325-27'!$I$11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'FIAA|0229-00'!$M$2</definedName>
    <definedName name="LUMAFund" localSheetId="1">'FIAA|0325-27'!$M$2</definedName>
    <definedName name="LUMAFund">'B6'!$M$2</definedName>
    <definedName name="MAXSSDI">Benefits!$F$5</definedName>
    <definedName name="MAXSSDIBY">Benefits!$G$5</definedName>
    <definedName name="NEW_AdjGroup" localSheetId="0">'FIAA|0229-00'!$AC$39</definedName>
    <definedName name="NEW_AdjGroup" localSheetId="1">'FIAA|0325-27'!$AC$39</definedName>
    <definedName name="NEW_AdjGroup">'B6'!$AC$39</definedName>
    <definedName name="NEW_AdjGroupSalary" localSheetId="0">'FIAA|0229-00'!$AA$39</definedName>
    <definedName name="NEW_AdjGroupSalary" localSheetId="1">'FIAA|0325-27'!$AA$39</definedName>
    <definedName name="NEW_AdjGroupSalary">'B6'!$AA$39</definedName>
    <definedName name="NEW_AdjGroupVB" localSheetId="0">'FIAA|0229-00'!$AB$39</definedName>
    <definedName name="NEW_AdjGroupVB" localSheetId="1">'FIAA|0325-27'!$AB$39</definedName>
    <definedName name="NEW_AdjGroupVB">'B6'!$AB$39</definedName>
    <definedName name="NEW_AdjONLYGroup" localSheetId="0">'FIAA|0229-00'!$AC$45</definedName>
    <definedName name="NEW_AdjONLYGroup" localSheetId="1">'FIAA|0325-27'!$AC$45</definedName>
    <definedName name="NEW_AdjONLYGroup">'B6'!$AC$45</definedName>
    <definedName name="NEW_AdjONLYGroupSalary" localSheetId="0">'FIAA|0229-00'!$AA$45</definedName>
    <definedName name="NEW_AdjONLYGroupSalary" localSheetId="1">'FIAA|0325-27'!$AA$45</definedName>
    <definedName name="NEW_AdjONLYGroupSalary">'B6'!$AA$45</definedName>
    <definedName name="NEW_AdjONLYGroupVB" localSheetId="0">'FIAA|0229-00'!$AB$45</definedName>
    <definedName name="NEW_AdjONLYGroupVB" localSheetId="1">'FIAA|0325-27'!$AB$45</definedName>
    <definedName name="NEW_AdjONLYGroupVB">'B6'!$AB$45</definedName>
    <definedName name="NEW_AdjONLYPerm" localSheetId="0">'FIAA|0229-00'!$AC$44</definedName>
    <definedName name="NEW_AdjONLYPerm" localSheetId="1">'FIAA|0325-27'!$AC$44</definedName>
    <definedName name="NEW_AdjONLYPerm">'B6'!$AC$44</definedName>
    <definedName name="NEW_AdjONLYPermSalary" localSheetId="0">'FIAA|0229-00'!$AA$44</definedName>
    <definedName name="NEW_AdjONLYPermSalary" localSheetId="1">'FIAA|0325-27'!$AA$44</definedName>
    <definedName name="NEW_AdjONLYPermSalary">'B6'!$AA$44</definedName>
    <definedName name="NEW_AdjONLYPermVB" localSheetId="0">'FIAA|0229-00'!$AB$44</definedName>
    <definedName name="NEW_AdjONLYPermVB" localSheetId="1">'FIAA|0325-27'!$AB$44</definedName>
    <definedName name="NEW_AdjONLYPermVB">'B6'!$AB$44</definedName>
    <definedName name="NEW_AdjPerm" localSheetId="0">'FIAA|0229-00'!$AC$38</definedName>
    <definedName name="NEW_AdjPerm" localSheetId="1">'FIAA|0325-27'!$AC$38</definedName>
    <definedName name="NEW_AdjPerm">'B6'!$AC$38</definedName>
    <definedName name="NEW_AdjPermSalary" localSheetId="0">'FIAA|0229-00'!$AA$38</definedName>
    <definedName name="NEW_AdjPermSalary" localSheetId="1">'FIAA|0325-27'!$AA$38</definedName>
    <definedName name="NEW_AdjPermSalary">'B6'!$AA$38</definedName>
    <definedName name="NEW_AdjPermVB" localSheetId="0">'FIAA|0229-00'!$AB$38</definedName>
    <definedName name="NEW_AdjPermVB" localSheetId="1">'FIAA|0325-27'!$AB$38</definedName>
    <definedName name="NEW_AdjPermVB">'B6'!$AB$38</definedName>
    <definedName name="NEW_GroupFilled" localSheetId="0">'FIAA|0229-00'!$AC$11</definedName>
    <definedName name="NEW_GroupFilled" localSheetId="1">'FIAA|0325-27'!$AC$11</definedName>
    <definedName name="NEW_GroupFilled">'B6'!$AC$11</definedName>
    <definedName name="NEW_GroupSalaryFilled" localSheetId="0">'FIAA|0229-00'!$AA$11</definedName>
    <definedName name="NEW_GroupSalaryFilled" localSheetId="1">'FIAA|0325-27'!$AA$11</definedName>
    <definedName name="NEW_GroupSalaryFilled">'B6'!$AA$11</definedName>
    <definedName name="NEW_GroupVBFilled" localSheetId="0">'FIAA|0229-00'!$AB$11</definedName>
    <definedName name="NEW_GroupVBFilled" localSheetId="1">'FIAA|0325-27'!$AB$11</definedName>
    <definedName name="NEW_GroupVBFilled">'B6'!$AB$11</definedName>
    <definedName name="NEW_PermFilled" localSheetId="0">'FIAA|0229-00'!$AC$10</definedName>
    <definedName name="NEW_PermFilled" localSheetId="1">'FIAA|0325-27'!$AC$10</definedName>
    <definedName name="NEW_PermFilled">'B6'!$AC$10</definedName>
    <definedName name="NEW_PermSalaryFilled" localSheetId="0">'FIAA|0229-00'!$AA$10</definedName>
    <definedName name="NEW_PermSalaryFilled" localSheetId="1">'FIAA|0325-27'!$AA$10</definedName>
    <definedName name="NEW_PermSalaryFilled">'B6'!$AA$10</definedName>
    <definedName name="NEW_PermVBFilled" localSheetId="0">'FIAA|0229-00'!$AB$10</definedName>
    <definedName name="NEW_PermVBFilled" localSheetId="1">'FIAA|0325-27'!$AB$10</definedName>
    <definedName name="NEW_PermVBFilled">'B6'!$AB$10</definedName>
    <definedName name="OneTimePC_Total" localSheetId="0">'FIAA|0229-00'!$J$63</definedName>
    <definedName name="OneTimePC_Total" localSheetId="1">'FIAA|0325-27'!$J$63</definedName>
    <definedName name="OneTimePC_Total">'B6'!$J$63</definedName>
    <definedName name="OrigApprop" localSheetId="0">'FIAA|0229-00'!$E$15</definedName>
    <definedName name="OrigApprop" localSheetId="1">'FIAA|0325-27'!$E$15</definedName>
    <definedName name="OrigApprop">'B6'!$E$15</definedName>
    <definedName name="perm_name" localSheetId="0">'FIAA|0229-00'!$C$10</definedName>
    <definedName name="perm_name" localSheetId="1">'FIAA|0325-27'!$C$10</definedName>
    <definedName name="perm_name">'B6'!$C$10</definedName>
    <definedName name="PermFTP" localSheetId="0">'FIAA|0229-00'!$F$10</definedName>
    <definedName name="PermFTP" localSheetId="1">'FIAA|0325-27'!$F$10</definedName>
    <definedName name="PermFTP">'B6'!$F$10</definedName>
    <definedName name="PermFxdBen" localSheetId="0">'FIAA|0229-00'!$H$10</definedName>
    <definedName name="PermFxdBen" localSheetId="1">'FIAA|0325-27'!$H$10</definedName>
    <definedName name="PermFxdBen">'B6'!$H$10</definedName>
    <definedName name="PermFxdBenChg" localSheetId="0">'FIAA|0229-00'!$L$10</definedName>
    <definedName name="PermFxdBenChg" localSheetId="1">'FIAA|0325-27'!$L$10</definedName>
    <definedName name="PermFxdBenChg">'B6'!$L$10</definedName>
    <definedName name="PermFxdChg" localSheetId="0">'FIAA|0229-00'!$L$10</definedName>
    <definedName name="PermFxdChg" localSheetId="1">'FIAA|0325-27'!$L$10</definedName>
    <definedName name="PermFxdChg">'B6'!$L$10</definedName>
    <definedName name="PermSalary" localSheetId="0">'FIAA|0229-00'!$G$10</definedName>
    <definedName name="PermSalary" localSheetId="1">'FIAA|0325-27'!$G$10</definedName>
    <definedName name="PermSalary">'B6'!$G$10</definedName>
    <definedName name="PermVarBen" localSheetId="0">'FIAA|0229-00'!$I$10</definedName>
    <definedName name="PermVarBen" localSheetId="1">'FIAA|0325-27'!$I$10</definedName>
    <definedName name="PermVarBen">'B6'!$I$10</definedName>
    <definedName name="PermVarBenChg" localSheetId="0">'FIAA|0229-00'!$M$10</definedName>
    <definedName name="PermVarBenChg" localSheetId="1">'FIAA|0325-27'!$M$10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'FIAA|0229-00'!$A$1:$N$81</definedName>
    <definedName name="_xlnm.Print_Area" localSheetId="1">'FIAA|0325-27'!$A$1:$N$81</definedName>
    <definedName name="Prog_Unadjusted_Total" localSheetId="0">'FIAA|0229-00'!$C$8:$N$16</definedName>
    <definedName name="Prog_Unadjusted_Total" localSheetId="1">'FIAA|0325-27'!$C$8:$N$16</definedName>
    <definedName name="Prog_Unadjusted_Total">'B6'!$C$8:$N$16</definedName>
    <definedName name="Program" localSheetId="0">'FIAA|0229-00'!$D$3</definedName>
    <definedName name="Program" localSheetId="1">'FIAA|0325-27'!$D$3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'FIAA|0229-00'!$G$52</definedName>
    <definedName name="RoundedAppropSalary" localSheetId="1">'FIAA|0325-27'!$G$52</definedName>
    <definedName name="RoundedAppropSalary">'B6'!$G$52</definedName>
    <definedName name="SalaryChg" localSheetId="0">'FIAA|0229-00'!$K$10</definedName>
    <definedName name="SalaryChg" localSheetId="1">'FIAA|0325-27'!$K$10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'FIAA|0229-00'!#REF!</definedName>
    <definedName name="SubCECBase" localSheetId="1">'FIAA|0325-27'!#REF!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101" i="5"/>
  <c r="AY101" i="5"/>
  <c r="AW101" i="5"/>
  <c r="AV101" i="5"/>
  <c r="AU101" i="5"/>
  <c r="AT101" i="5"/>
  <c r="AS101" i="5"/>
  <c r="BA99" i="5"/>
  <c r="AZ99" i="5"/>
  <c r="AY99" i="5"/>
  <c r="AX99" i="5"/>
  <c r="AW99" i="5"/>
  <c r="AV99" i="5"/>
  <c r="AU99" i="5"/>
  <c r="AT99" i="5"/>
  <c r="AS99" i="5"/>
  <c r="AZ93" i="5"/>
  <c r="AY93" i="5"/>
  <c r="AW93" i="5"/>
  <c r="AV93" i="5"/>
  <c r="AU93" i="5"/>
  <c r="AT93" i="5"/>
  <c r="AS93" i="5"/>
  <c r="AZ97" i="5"/>
  <c r="AW97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J74" i="13"/>
  <c r="I74" i="13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N35" i="13" s="1"/>
  <c r="L35" i="13"/>
  <c r="J35" i="13"/>
  <c r="I35" i="13"/>
  <c r="H35" i="13"/>
  <c r="N34" i="13"/>
  <c r="M34" i="13"/>
  <c r="L34" i="13"/>
  <c r="J34" i="13"/>
  <c r="I34" i="13"/>
  <c r="H34" i="13"/>
  <c r="M33" i="13"/>
  <c r="N33" i="13" s="1"/>
  <c r="L33" i="13"/>
  <c r="J33" i="13"/>
  <c r="I33" i="13"/>
  <c r="H33" i="13"/>
  <c r="M32" i="13"/>
  <c r="L32" i="13"/>
  <c r="J32" i="13"/>
  <c r="I32" i="13"/>
  <c r="H32" i="13"/>
  <c r="M30" i="13"/>
  <c r="N30" i="13" s="1"/>
  <c r="L30" i="13"/>
  <c r="J30" i="13"/>
  <c r="I30" i="13"/>
  <c r="H30" i="13"/>
  <c r="M29" i="13"/>
  <c r="N29" i="13" s="1"/>
  <c r="L29" i="13"/>
  <c r="J29" i="13"/>
  <c r="I29" i="13"/>
  <c r="H29" i="13"/>
  <c r="N28" i="13"/>
  <c r="M28" i="13"/>
  <c r="L28" i="13"/>
  <c r="J28" i="13"/>
  <c r="I28" i="13"/>
  <c r="H28" i="13"/>
  <c r="M27" i="13"/>
  <c r="L27" i="13"/>
  <c r="J27" i="13"/>
  <c r="I27" i="13"/>
  <c r="H27" i="13"/>
  <c r="M26" i="13"/>
  <c r="N26" i="13" s="1"/>
  <c r="L26" i="13"/>
  <c r="J26" i="13"/>
  <c r="I26" i="13"/>
  <c r="H26" i="13"/>
  <c r="N25" i="13"/>
  <c r="M25" i="13"/>
  <c r="L25" i="13"/>
  <c r="J25" i="13"/>
  <c r="I25" i="13"/>
  <c r="H25" i="13"/>
  <c r="M24" i="13"/>
  <c r="N24" i="13" s="1"/>
  <c r="L24" i="13"/>
  <c r="J24" i="13"/>
  <c r="I24" i="13"/>
  <c r="H24" i="13"/>
  <c r="M23" i="13"/>
  <c r="L23" i="13"/>
  <c r="J23" i="13"/>
  <c r="I23" i="13"/>
  <c r="H23" i="13"/>
  <c r="M22" i="13"/>
  <c r="N22" i="13" s="1"/>
  <c r="L22" i="13"/>
  <c r="J22" i="13"/>
  <c r="I22" i="13"/>
  <c r="H22" i="13"/>
  <c r="M21" i="13"/>
  <c r="N21" i="13" s="1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CM81" i="5"/>
  <c r="CM82" i="5" s="1"/>
  <c r="CL81" i="5"/>
  <c r="CL82" i="5" s="1"/>
  <c r="CK81" i="5"/>
  <c r="CK82" i="5" s="1"/>
  <c r="M12" i="13" s="1"/>
  <c r="M40" i="13" s="1"/>
  <c r="CJ81" i="5"/>
  <c r="CJ82" i="5" s="1"/>
  <c r="M10" i="13" s="1"/>
  <c r="CI81" i="5"/>
  <c r="CI82" i="5" s="1"/>
  <c r="CH81" i="5"/>
  <c r="CH82" i="5" s="1"/>
  <c r="CG81" i="5"/>
  <c r="CG82" i="5" s="1"/>
  <c r="CF81" i="5"/>
  <c r="CF82" i="5" s="1"/>
  <c r="CE81" i="5"/>
  <c r="CE82" i="5" s="1"/>
  <c r="CD81" i="5"/>
  <c r="CD82" i="5" s="1"/>
  <c r="CC81" i="5"/>
  <c r="CC82" i="5" s="1"/>
  <c r="CB81" i="5"/>
  <c r="CB82" i="5" s="1"/>
  <c r="CA81" i="5"/>
  <c r="CA82" i="5" s="1"/>
  <c r="BZ81" i="5"/>
  <c r="BZ82" i="5" s="1"/>
  <c r="L10" i="13" s="1"/>
  <c r="BY81" i="5"/>
  <c r="BY82" i="5" s="1"/>
  <c r="BX81" i="5"/>
  <c r="BX82" i="5" s="1"/>
  <c r="BW81" i="5"/>
  <c r="BW82" i="5" s="1"/>
  <c r="BV81" i="5"/>
  <c r="BV82" i="5" s="1"/>
  <c r="BU81" i="5"/>
  <c r="BU82" i="5" s="1"/>
  <c r="BT81" i="5"/>
  <c r="BT82" i="5" s="1"/>
  <c r="BS81" i="5"/>
  <c r="BS82" i="5" s="1"/>
  <c r="BR81" i="5"/>
  <c r="BR82" i="5" s="1"/>
  <c r="BQ81" i="5"/>
  <c r="BQ82" i="5" s="1"/>
  <c r="BP81" i="5"/>
  <c r="BP82" i="5" s="1"/>
  <c r="BO81" i="5"/>
  <c r="BO82" i="5" s="1"/>
  <c r="BN81" i="5"/>
  <c r="BN82" i="5" s="1"/>
  <c r="BM81" i="5"/>
  <c r="BM82" i="5" s="1"/>
  <c r="I12" i="13" s="1"/>
  <c r="I40" i="13" s="1"/>
  <c r="BL81" i="5"/>
  <c r="BL82" i="5" s="1"/>
  <c r="G15" i="10" s="1"/>
  <c r="BK81" i="5"/>
  <c r="BK82" i="5" s="1"/>
  <c r="BJ81" i="5"/>
  <c r="BJ82" i="5" s="1"/>
  <c r="BI81" i="5"/>
  <c r="BI82" i="5" s="1"/>
  <c r="BH81" i="5"/>
  <c r="BH82" i="5" s="1"/>
  <c r="BG81" i="5"/>
  <c r="BG82" i="5" s="1"/>
  <c r="BF81" i="5"/>
  <c r="BF82" i="5" s="1"/>
  <c r="BE81" i="5"/>
  <c r="BE82" i="5" s="1"/>
  <c r="BD81" i="5"/>
  <c r="BD82" i="5" s="1"/>
  <c r="BC81" i="5"/>
  <c r="BC82" i="5" s="1"/>
  <c r="BB81" i="5"/>
  <c r="BB82" i="5" s="1"/>
  <c r="F15" i="10" s="1"/>
  <c r="BA81" i="5"/>
  <c r="BA82" i="5" s="1"/>
  <c r="AZ81" i="5"/>
  <c r="AZ82" i="5" s="1"/>
  <c r="AY81" i="5"/>
  <c r="AY82" i="5" s="1"/>
  <c r="G10" i="13" s="1"/>
  <c r="AX81" i="5"/>
  <c r="AX82" i="5" s="1"/>
  <c r="AW81" i="5"/>
  <c r="AW82" i="5" s="1"/>
  <c r="AV81" i="5"/>
  <c r="AV82" i="5" s="1"/>
  <c r="AU81" i="5"/>
  <c r="AU82" i="5" s="1"/>
  <c r="AT81" i="5"/>
  <c r="AT82" i="5" s="1"/>
  <c r="AS81" i="5"/>
  <c r="AS82" i="5" s="1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N30" i="12" s="1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N27" i="12" s="1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2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S10" i="5"/>
  <c r="AX10" i="5" s="1"/>
  <c r="AS11" i="5"/>
  <c r="AT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S18" i="5"/>
  <c r="AX18" i="5" s="1"/>
  <c r="AS19" i="5"/>
  <c r="AT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S42" i="5"/>
  <c r="AX42" i="5" s="1"/>
  <c r="AS43" i="5"/>
  <c r="AT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S50" i="5"/>
  <c r="AX50" i="5" s="1"/>
  <c r="AS51" i="5"/>
  <c r="AT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S66" i="5"/>
  <c r="AX66" i="5" s="1"/>
  <c r="AS67" i="5"/>
  <c r="AT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S74" i="5"/>
  <c r="AX74" i="5" s="1"/>
  <c r="AS75" i="5"/>
  <c r="AT75" i="5" s="1"/>
  <c r="AS76" i="5"/>
  <c r="AX76" i="5" s="1"/>
  <c r="AS2" i="5"/>
  <c r="AX2" i="5" s="1"/>
  <c r="E27" i="7"/>
  <c r="N25" i="12" l="1"/>
  <c r="N34" i="12"/>
  <c r="N27" i="13"/>
  <c r="N23" i="13"/>
  <c r="N32" i="13"/>
  <c r="AV96" i="5"/>
  <c r="AX96" i="5"/>
  <c r="AT90" i="5"/>
  <c r="AY96" i="5"/>
  <c r="AU90" i="5"/>
  <c r="BA96" i="5"/>
  <c r="H10" i="13"/>
  <c r="H38" i="13" s="1"/>
  <c r="AT96" i="5"/>
  <c r="I10" i="13"/>
  <c r="AB10" i="13" s="1"/>
  <c r="J15" i="10"/>
  <c r="AU96" i="5"/>
  <c r="F12" i="13"/>
  <c r="F40" i="13" s="1"/>
  <c r="D17" i="10"/>
  <c r="L38" i="13"/>
  <c r="N10" i="13"/>
  <c r="L12" i="13"/>
  <c r="J17" i="10"/>
  <c r="G11" i="13"/>
  <c r="E16" i="10"/>
  <c r="F17" i="10"/>
  <c r="F18" i="10" s="1"/>
  <c r="H12" i="13"/>
  <c r="H40" i="13" s="1"/>
  <c r="I11" i="13"/>
  <c r="G16" i="10"/>
  <c r="M38" i="13"/>
  <c r="M41" i="13" s="1"/>
  <c r="M13" i="13"/>
  <c r="G12" i="13"/>
  <c r="E17" i="10"/>
  <c r="AA10" i="13"/>
  <c r="G38" i="13"/>
  <c r="AA38" i="13" s="1"/>
  <c r="F10" i="13"/>
  <c r="D15" i="10"/>
  <c r="K10" i="13"/>
  <c r="I15" i="10"/>
  <c r="G17" i="10"/>
  <c r="K15" i="10"/>
  <c r="K17" i="10"/>
  <c r="E15" i="10"/>
  <c r="N39" i="13"/>
  <c r="N20" i="12"/>
  <c r="N28" i="12"/>
  <c r="N22" i="12"/>
  <c r="N21" i="12"/>
  <c r="N24" i="12"/>
  <c r="N29" i="12"/>
  <c r="N33" i="12"/>
  <c r="F52" i="13"/>
  <c r="F56" i="13" s="1"/>
  <c r="F60" i="13" s="1"/>
  <c r="N23" i="12"/>
  <c r="N26" i="12"/>
  <c r="N32" i="12"/>
  <c r="N35" i="12"/>
  <c r="N39" i="12"/>
  <c r="F52" i="12"/>
  <c r="F56" i="12" s="1"/>
  <c r="F60" i="12" s="1"/>
  <c r="AT14" i="5"/>
  <c r="BY14" i="5" s="1"/>
  <c r="AT13" i="5"/>
  <c r="AV13" i="5" s="1"/>
  <c r="BC13" i="5" s="1"/>
  <c r="AT22" i="5"/>
  <c r="CD22" i="5" s="1"/>
  <c r="AT68" i="5"/>
  <c r="CA68" i="5" s="1"/>
  <c r="AT36" i="5"/>
  <c r="CE36" i="5" s="1"/>
  <c r="AT35" i="5"/>
  <c r="AV35" i="5" s="1"/>
  <c r="AT27" i="5"/>
  <c r="CF27" i="5" s="1"/>
  <c r="AT70" i="5"/>
  <c r="AU70" i="5" s="1"/>
  <c r="AT38" i="5"/>
  <c r="AU38" i="5" s="1"/>
  <c r="AT62" i="5"/>
  <c r="AU62" i="5" s="1"/>
  <c r="BB62" i="5" s="1"/>
  <c r="AT8" i="5"/>
  <c r="CA8" i="5" s="1"/>
  <c r="AT59" i="5"/>
  <c r="AV59" i="5" s="1"/>
  <c r="BO59" i="5" s="1"/>
  <c r="AT31" i="5"/>
  <c r="AY31" i="5" s="1"/>
  <c r="AT7" i="5"/>
  <c r="CC7" i="5" s="1"/>
  <c r="AT54" i="5"/>
  <c r="CC54" i="5" s="1"/>
  <c r="AT30" i="5"/>
  <c r="BJ30" i="5" s="1"/>
  <c r="AT6" i="5"/>
  <c r="AU6" i="5" s="1"/>
  <c r="AT46" i="5"/>
  <c r="CE46" i="5" s="1"/>
  <c r="AT4" i="5"/>
  <c r="AV4" i="5" s="1"/>
  <c r="BO4" i="5" s="1"/>
  <c r="AT44" i="5"/>
  <c r="AU44" i="5" s="1"/>
  <c r="BN44" i="5" s="1"/>
  <c r="AT40" i="5"/>
  <c r="BY40" i="5" s="1"/>
  <c r="AT16" i="5"/>
  <c r="AU16" i="5" s="1"/>
  <c r="BB16" i="5" s="1"/>
  <c r="CL79" i="5"/>
  <c r="CL80" i="5" s="1"/>
  <c r="CK67" i="5"/>
  <c r="CG67" i="5"/>
  <c r="CH67" i="5"/>
  <c r="CD67" i="5"/>
  <c r="CJ67" i="5"/>
  <c r="CF67" i="5"/>
  <c r="CC67" i="5"/>
  <c r="CI67" i="5"/>
  <c r="BV67" i="5"/>
  <c r="CA67" i="5"/>
  <c r="BX67" i="5"/>
  <c r="BZ67" i="5"/>
  <c r="BU67" i="5"/>
  <c r="BY67" i="5"/>
  <c r="BT67" i="5"/>
  <c r="BW67" i="5"/>
  <c r="BS67" i="5"/>
  <c r="CE67" i="5"/>
  <c r="BR67" i="5"/>
  <c r="BK67" i="5"/>
  <c r="BM67" i="5"/>
  <c r="BH67" i="5"/>
  <c r="BE67" i="5"/>
  <c r="BQ67" i="5"/>
  <c r="BJ67" i="5"/>
  <c r="BL67" i="5"/>
  <c r="BG67" i="5"/>
  <c r="BF67" i="5"/>
  <c r="AY67" i="5"/>
  <c r="BI67" i="5"/>
  <c r="BA67" i="5"/>
  <c r="AZ67" i="5"/>
  <c r="AU67" i="5"/>
  <c r="BN67" i="5" s="1"/>
  <c r="AV67" i="5"/>
  <c r="BO67" i="5" s="1"/>
  <c r="CK75" i="5"/>
  <c r="CD75" i="5"/>
  <c r="CF75" i="5"/>
  <c r="CC75" i="5"/>
  <c r="CE75" i="5"/>
  <c r="CI75" i="5"/>
  <c r="CA75" i="5"/>
  <c r="BV75" i="5"/>
  <c r="BU75" i="5"/>
  <c r="BY75" i="5"/>
  <c r="BT75" i="5"/>
  <c r="BS75" i="5"/>
  <c r="BW75" i="5"/>
  <c r="BR75" i="5"/>
  <c r="BK75" i="5"/>
  <c r="BM75" i="5"/>
  <c r="BH75" i="5"/>
  <c r="BE75" i="5"/>
  <c r="BJ75" i="5"/>
  <c r="BQ75" i="5"/>
  <c r="BG75" i="5"/>
  <c r="AY75" i="5"/>
  <c r="BF75" i="5"/>
  <c r="BA75" i="5"/>
  <c r="BI75" i="5"/>
  <c r="AZ75" i="5"/>
  <c r="AU75" i="5"/>
  <c r="BB75" i="5" s="1"/>
  <c r="AV75" i="5"/>
  <c r="BO75" i="5" s="1"/>
  <c r="CK43" i="5"/>
  <c r="CD43" i="5"/>
  <c r="CF43" i="5"/>
  <c r="CC43" i="5"/>
  <c r="CA43" i="5"/>
  <c r="BV43" i="5"/>
  <c r="CE43" i="5"/>
  <c r="BU43" i="5"/>
  <c r="BY43" i="5"/>
  <c r="BT43" i="5"/>
  <c r="BS43" i="5"/>
  <c r="BW43" i="5"/>
  <c r="CI43" i="5"/>
  <c r="BR43" i="5"/>
  <c r="BQ43" i="5"/>
  <c r="BK43" i="5"/>
  <c r="BM43" i="5"/>
  <c r="BH43" i="5"/>
  <c r="BE43" i="5"/>
  <c r="BJ43" i="5"/>
  <c r="BG43" i="5"/>
  <c r="BF43" i="5"/>
  <c r="BI43" i="5"/>
  <c r="AY43" i="5"/>
  <c r="BA43" i="5"/>
  <c r="AZ43" i="5"/>
  <c r="AU43" i="5"/>
  <c r="BN43" i="5" s="1"/>
  <c r="AV43" i="5"/>
  <c r="BO43" i="5" s="1"/>
  <c r="CK11" i="5"/>
  <c r="CG11" i="5"/>
  <c r="CD11" i="5"/>
  <c r="CF11" i="5"/>
  <c r="CC11" i="5"/>
  <c r="CI11" i="5"/>
  <c r="BV11" i="5"/>
  <c r="CA11" i="5"/>
  <c r="BU11" i="5"/>
  <c r="CE11" i="5"/>
  <c r="BY11" i="5"/>
  <c r="BT11" i="5"/>
  <c r="BW11" i="5"/>
  <c r="BS11" i="5"/>
  <c r="BM11" i="5"/>
  <c r="BR11" i="5"/>
  <c r="BK11" i="5"/>
  <c r="BH11" i="5"/>
  <c r="BE11" i="5"/>
  <c r="BJ11" i="5"/>
  <c r="BQ11" i="5"/>
  <c r="BG11" i="5"/>
  <c r="BF11" i="5"/>
  <c r="AY11" i="5"/>
  <c r="BA11" i="5"/>
  <c r="BI11" i="5"/>
  <c r="AZ11" i="5"/>
  <c r="AU11" i="5"/>
  <c r="BB11" i="5" s="1"/>
  <c r="AV11" i="5"/>
  <c r="BO11" i="5" s="1"/>
  <c r="CK19" i="5"/>
  <c r="CD19" i="5"/>
  <c r="CF19" i="5"/>
  <c r="CC19" i="5"/>
  <c r="CE19" i="5"/>
  <c r="CA19" i="5"/>
  <c r="BV19" i="5"/>
  <c r="CI19" i="5"/>
  <c r="BU19" i="5"/>
  <c r="BY19" i="5"/>
  <c r="BT19" i="5"/>
  <c r="BS19" i="5"/>
  <c r="BM19" i="5"/>
  <c r="BR19" i="5"/>
  <c r="BW19" i="5"/>
  <c r="BK19" i="5"/>
  <c r="BH19" i="5"/>
  <c r="BE19" i="5"/>
  <c r="BJ19" i="5"/>
  <c r="BG19" i="5"/>
  <c r="BQ19" i="5"/>
  <c r="BF19" i="5"/>
  <c r="AY19" i="5"/>
  <c r="BA19" i="5"/>
  <c r="AZ19" i="5"/>
  <c r="AU19" i="5"/>
  <c r="BB19" i="5" s="1"/>
  <c r="AV19" i="5"/>
  <c r="BO19" i="5" s="1"/>
  <c r="BI19" i="5"/>
  <c r="CK51" i="5"/>
  <c r="CD51" i="5"/>
  <c r="CF51" i="5"/>
  <c r="CC51" i="5"/>
  <c r="BV51" i="5"/>
  <c r="BU51" i="5"/>
  <c r="CE51" i="5"/>
  <c r="BY51" i="5"/>
  <c r="BT51" i="5"/>
  <c r="BS51" i="5"/>
  <c r="CA51" i="5"/>
  <c r="BR51" i="5"/>
  <c r="CI51" i="5"/>
  <c r="BW51" i="5"/>
  <c r="BK51" i="5"/>
  <c r="BQ51" i="5"/>
  <c r="BM51" i="5"/>
  <c r="BH51" i="5"/>
  <c r="BE51" i="5"/>
  <c r="BJ51" i="5"/>
  <c r="BG51" i="5"/>
  <c r="BF51" i="5"/>
  <c r="BI51" i="5"/>
  <c r="AY51" i="5"/>
  <c r="BA51" i="5"/>
  <c r="AZ51" i="5"/>
  <c r="AU51" i="5"/>
  <c r="BN51" i="5" s="1"/>
  <c r="AV51" i="5"/>
  <c r="BO51" i="5" s="1"/>
  <c r="CK3" i="5"/>
  <c r="CH3" i="5"/>
  <c r="CD3" i="5"/>
  <c r="CJ3" i="5"/>
  <c r="CA3" i="5"/>
  <c r="CF3" i="5"/>
  <c r="CC3" i="5"/>
  <c r="CG3" i="5"/>
  <c r="CI3" i="5"/>
  <c r="BV3" i="5"/>
  <c r="BX3" i="5"/>
  <c r="BZ3" i="5"/>
  <c r="BU3" i="5"/>
  <c r="BY3" i="5"/>
  <c r="BT3" i="5"/>
  <c r="CE3" i="5"/>
  <c r="BW3" i="5"/>
  <c r="BM3" i="5"/>
  <c r="BS3" i="5"/>
  <c r="BR3" i="5"/>
  <c r="BK3" i="5"/>
  <c r="BH3" i="5"/>
  <c r="BE3" i="5"/>
  <c r="BQ3" i="5"/>
  <c r="BJ3" i="5"/>
  <c r="BL3" i="5"/>
  <c r="BG3" i="5"/>
  <c r="BF3" i="5"/>
  <c r="AY3" i="5"/>
  <c r="BI3" i="5"/>
  <c r="BA3" i="5"/>
  <c r="AZ3" i="5"/>
  <c r="AU3" i="5"/>
  <c r="BB3" i="5" s="1"/>
  <c r="AV3" i="5"/>
  <c r="BO3" i="5" s="1"/>
  <c r="AT72" i="5"/>
  <c r="AT63" i="5"/>
  <c r="AT45" i="5"/>
  <c r="CI36" i="5"/>
  <c r="CK36" i="5"/>
  <c r="CD36" i="5"/>
  <c r="CF36" i="5"/>
  <c r="BY36" i="5"/>
  <c r="BV36" i="5"/>
  <c r="CA36" i="5"/>
  <c r="BQ36" i="5"/>
  <c r="BS36" i="5"/>
  <c r="BT36" i="5"/>
  <c r="BM36" i="5"/>
  <c r="BU36" i="5"/>
  <c r="BF36" i="5"/>
  <c r="BH36" i="5"/>
  <c r="BE36" i="5"/>
  <c r="BJ36" i="5"/>
  <c r="BG36" i="5"/>
  <c r="BI36" i="5"/>
  <c r="AY36" i="5"/>
  <c r="BD36" i="5"/>
  <c r="BA36" i="5"/>
  <c r="BP36" i="5" s="1"/>
  <c r="AT18" i="5"/>
  <c r="CK8" i="5"/>
  <c r="CD8" i="5"/>
  <c r="AW79" i="5"/>
  <c r="AW80" i="5" s="1"/>
  <c r="AX43" i="5"/>
  <c r="AX51" i="5"/>
  <c r="BD51" i="5" s="1"/>
  <c r="AT71" i="5"/>
  <c r="AT53" i="5"/>
  <c r="AT26" i="5"/>
  <c r="AT61" i="5"/>
  <c r="AT52" i="5"/>
  <c r="AT34" i="5"/>
  <c r="AT24" i="5"/>
  <c r="AT15" i="5"/>
  <c r="CC6" i="5"/>
  <c r="CE62" i="5"/>
  <c r="AT69" i="5"/>
  <c r="AT60" i="5"/>
  <c r="AT42" i="5"/>
  <c r="AT32" i="5"/>
  <c r="AT23" i="5"/>
  <c r="CI14" i="5"/>
  <c r="CA14" i="5"/>
  <c r="BW14" i="5"/>
  <c r="BV14" i="5"/>
  <c r="BU14" i="5"/>
  <c r="BT14" i="5"/>
  <c r="BS14" i="5"/>
  <c r="BD14" i="5"/>
  <c r="BR14" i="5"/>
  <c r="BK14" i="5"/>
  <c r="BE14" i="5"/>
  <c r="BG14" i="5"/>
  <c r="BJ14" i="5"/>
  <c r="AT5" i="5"/>
  <c r="AU36" i="5"/>
  <c r="BN36" i="5" s="1"/>
  <c r="AV38" i="5"/>
  <c r="BC38" i="5" s="1"/>
  <c r="AX3" i="5"/>
  <c r="AX67" i="5"/>
  <c r="BD67" i="5" s="1"/>
  <c r="AT2" i="5"/>
  <c r="AT50" i="5"/>
  <c r="CF40" i="5"/>
  <c r="CC40" i="5"/>
  <c r="CI40" i="5"/>
  <c r="CK40" i="5"/>
  <c r="BU40" i="5"/>
  <c r="CE40" i="5"/>
  <c r="BW40" i="5"/>
  <c r="BT40" i="5"/>
  <c r="CD40" i="5"/>
  <c r="CA40" i="5"/>
  <c r="BR40" i="5"/>
  <c r="BQ40" i="5"/>
  <c r="BV40" i="5"/>
  <c r="BS40" i="5"/>
  <c r="BG40" i="5"/>
  <c r="BI40" i="5"/>
  <c r="BF40" i="5"/>
  <c r="BK40" i="5"/>
  <c r="BD40" i="5"/>
  <c r="BA40" i="5"/>
  <c r="BP40" i="5" s="1"/>
  <c r="BH40" i="5"/>
  <c r="AZ40" i="5"/>
  <c r="BE40" i="5"/>
  <c r="AY40" i="5"/>
  <c r="AV40" i="5"/>
  <c r="BC40" i="5" s="1"/>
  <c r="CF31" i="5"/>
  <c r="CC31" i="5"/>
  <c r="CI31" i="5"/>
  <c r="CK31" i="5"/>
  <c r="CD31" i="5"/>
  <c r="BU31" i="5"/>
  <c r="BW31" i="5"/>
  <c r="BY31" i="5"/>
  <c r="BT31" i="5"/>
  <c r="CA31" i="5"/>
  <c r="BV31" i="5"/>
  <c r="BQ31" i="5"/>
  <c r="BS31" i="5"/>
  <c r="BG31" i="5"/>
  <c r="BI31" i="5"/>
  <c r="BF31" i="5"/>
  <c r="BM31" i="5"/>
  <c r="BH31" i="5"/>
  <c r="BJ31" i="5"/>
  <c r="BD31" i="5"/>
  <c r="BA31" i="5"/>
  <c r="BP31" i="5" s="1"/>
  <c r="BE31" i="5"/>
  <c r="AZ31" i="5"/>
  <c r="CG22" i="5"/>
  <c r="CA22" i="5"/>
  <c r="BQ22" i="5"/>
  <c r="CC22" i="5"/>
  <c r="BD22" i="5"/>
  <c r="AZ22" i="5"/>
  <c r="BJ22" i="5"/>
  <c r="BA22" i="5"/>
  <c r="BP22" i="5" s="1"/>
  <c r="CI13" i="5"/>
  <c r="CE13" i="5"/>
  <c r="CK13" i="5"/>
  <c r="CA13" i="5"/>
  <c r="CF13" i="5"/>
  <c r="BW13" i="5"/>
  <c r="CC13" i="5"/>
  <c r="BY13" i="5"/>
  <c r="BT13" i="5"/>
  <c r="BV13" i="5"/>
  <c r="BU13" i="5"/>
  <c r="BQ13" i="5"/>
  <c r="BS13" i="5"/>
  <c r="BM13" i="5"/>
  <c r="CD13" i="5"/>
  <c r="BR13" i="5"/>
  <c r="BI13" i="5"/>
  <c r="BF13" i="5"/>
  <c r="BK13" i="5"/>
  <c r="BH13" i="5"/>
  <c r="BE13" i="5"/>
  <c r="BJ13" i="5"/>
  <c r="BG13" i="5"/>
  <c r="AZ13" i="5"/>
  <c r="BD13" i="5"/>
  <c r="AY13" i="5"/>
  <c r="CD4" i="5"/>
  <c r="BY4" i="5"/>
  <c r="BV4" i="5"/>
  <c r="BF4" i="5"/>
  <c r="BH4" i="5"/>
  <c r="BA4" i="5"/>
  <c r="BP4" i="5" s="1"/>
  <c r="AX11" i="5"/>
  <c r="BD11" i="5" s="1"/>
  <c r="AX75" i="5"/>
  <c r="BD75" i="5" s="1"/>
  <c r="AX73" i="5"/>
  <c r="AT73" i="5"/>
  <c r="AX65" i="5"/>
  <c r="AT65" i="5"/>
  <c r="AX57" i="5"/>
  <c r="AT57" i="5"/>
  <c r="AX49" i="5"/>
  <c r="AT49" i="5"/>
  <c r="AX41" i="5"/>
  <c r="AT41" i="5"/>
  <c r="AX33" i="5"/>
  <c r="AT33" i="5"/>
  <c r="AX25" i="5"/>
  <c r="AT25" i="5"/>
  <c r="AX17" i="5"/>
  <c r="AT17" i="5"/>
  <c r="AX9" i="5"/>
  <c r="AT9" i="5"/>
  <c r="AT76" i="5"/>
  <c r="AT58" i="5"/>
  <c r="AT48" i="5"/>
  <c r="AT39" i="5"/>
  <c r="CF30" i="5"/>
  <c r="BF30" i="5"/>
  <c r="AT21" i="5"/>
  <c r="AT12" i="5"/>
  <c r="AV30" i="5"/>
  <c r="BC30" i="5" s="1"/>
  <c r="AX19" i="5"/>
  <c r="BD62" i="5"/>
  <c r="AT66" i="5"/>
  <c r="AT56" i="5"/>
  <c r="AT47" i="5"/>
  <c r="CE38" i="5"/>
  <c r="CK38" i="5"/>
  <c r="CD38" i="5"/>
  <c r="CA38" i="5"/>
  <c r="CF38" i="5"/>
  <c r="BY38" i="5"/>
  <c r="CC38" i="5"/>
  <c r="BU38" i="5"/>
  <c r="BQ38" i="5"/>
  <c r="BN38" i="5"/>
  <c r="BS38" i="5"/>
  <c r="BM38" i="5"/>
  <c r="BI38" i="5"/>
  <c r="BF38" i="5"/>
  <c r="BH38" i="5"/>
  <c r="BE38" i="5"/>
  <c r="BG38" i="5"/>
  <c r="BB38" i="5"/>
  <c r="BR38" i="5"/>
  <c r="AY38" i="5"/>
  <c r="BJ38" i="5"/>
  <c r="AT29" i="5"/>
  <c r="AT20" i="5"/>
  <c r="AV31" i="5"/>
  <c r="BO31" i="5" s="1"/>
  <c r="AT74" i="5"/>
  <c r="AT64" i="5"/>
  <c r="AT55" i="5"/>
  <c r="CI46" i="5"/>
  <c r="CD46" i="5"/>
  <c r="BQ46" i="5"/>
  <c r="BS46" i="5"/>
  <c r="BE46" i="5"/>
  <c r="AT37" i="5"/>
  <c r="AT28" i="5"/>
  <c r="AT10" i="5"/>
  <c r="AU4" i="5"/>
  <c r="BN4" i="5" s="1"/>
  <c r="AU13" i="5"/>
  <c r="BN13" i="5" s="1"/>
  <c r="AU22" i="5"/>
  <c r="BN22" i="5" s="1"/>
  <c r="AU31" i="5"/>
  <c r="BB31" i="5" s="1"/>
  <c r="BA13" i="5"/>
  <c r="BP13" i="5" s="1"/>
  <c r="CM79" i="5"/>
  <c r="CM80" i="5" s="1"/>
  <c r="E51" i="9"/>
  <c r="CE35" i="5" l="1"/>
  <c r="BQ35" i="5"/>
  <c r="BJ46" i="5"/>
  <c r="CC46" i="5"/>
  <c r="AY4" i="5"/>
  <c r="BU4" i="5"/>
  <c r="CK4" i="5"/>
  <c r="BE22" i="5"/>
  <c r="CF22" i="5"/>
  <c r="CC8" i="5"/>
  <c r="AZ4" i="5"/>
  <c r="BS4" i="5"/>
  <c r="CE4" i="5"/>
  <c r="BH22" i="5"/>
  <c r="BV22" i="5"/>
  <c r="AZ8" i="5"/>
  <c r="BD4" i="5"/>
  <c r="BQ4" i="5"/>
  <c r="BF22" i="5"/>
  <c r="BY22" i="5"/>
  <c r="BF8" i="5"/>
  <c r="AV22" i="5"/>
  <c r="BO22" i="5" s="1"/>
  <c r="BG4" i="5"/>
  <c r="CA4" i="5"/>
  <c r="BI22" i="5"/>
  <c r="BW22" i="5"/>
  <c r="BG8" i="5"/>
  <c r="BY8" i="5"/>
  <c r="BK4" i="5"/>
  <c r="BT4" i="5"/>
  <c r="AY22" i="5"/>
  <c r="BM22" i="5"/>
  <c r="CK22" i="5"/>
  <c r="AU8" i="5"/>
  <c r="BN8" i="5" s="1"/>
  <c r="BH8" i="5"/>
  <c r="BW8" i="5"/>
  <c r="CA46" i="5"/>
  <c r="BD54" i="5"/>
  <c r="BG46" i="5"/>
  <c r="BR62" i="5"/>
  <c r="BA27" i="5"/>
  <c r="BP27" i="5" s="1"/>
  <c r="BM62" i="5"/>
  <c r="CD62" i="5"/>
  <c r="BR46" i="5"/>
  <c r="BT46" i="5"/>
  <c r="CK46" i="5"/>
  <c r="BO13" i="5"/>
  <c r="BF62" i="5"/>
  <c r="CK62" i="5"/>
  <c r="BD46" i="5"/>
  <c r="BH46" i="5"/>
  <c r="BV46" i="5"/>
  <c r="BT62" i="5"/>
  <c r="BK46" i="5"/>
  <c r="BY46" i="5"/>
  <c r="AV62" i="5"/>
  <c r="BO62" i="5" s="1"/>
  <c r="BS62" i="5"/>
  <c r="AY46" i="5"/>
  <c r="BF46" i="5"/>
  <c r="CF46" i="5"/>
  <c r="AY62" i="5"/>
  <c r="BQ62" i="5"/>
  <c r="AZ46" i="5"/>
  <c r="BI46" i="5"/>
  <c r="BW46" i="5"/>
  <c r="AZ62" i="5"/>
  <c r="CF62" i="5"/>
  <c r="BG62" i="5"/>
  <c r="BW62" i="5"/>
  <c r="BI30" i="5"/>
  <c r="CA30" i="5"/>
  <c r="BD70" i="5"/>
  <c r="BK70" i="5"/>
  <c r="BD30" i="5"/>
  <c r="BS30" i="5"/>
  <c r="AY30" i="5"/>
  <c r="BQ30" i="5"/>
  <c r="CJ70" i="5"/>
  <c r="AZ30" i="5"/>
  <c r="BY30" i="5"/>
  <c r="BG30" i="5"/>
  <c r="BW30" i="5"/>
  <c r="BM30" i="5"/>
  <c r="CI30" i="5"/>
  <c r="BE30" i="5"/>
  <c r="CC30" i="5"/>
  <c r="BR27" i="5"/>
  <c r="BU54" i="5"/>
  <c r="AU54" i="5"/>
  <c r="BN54" i="5" s="1"/>
  <c r="BY27" i="5"/>
  <c r="BU59" i="5"/>
  <c r="BU68" i="5"/>
  <c r="BH44" i="5"/>
  <c r="AY27" i="5"/>
  <c r="BU27" i="5"/>
  <c r="CF54" i="5"/>
  <c r="BF27" i="5"/>
  <c r="CE27" i="5"/>
  <c r="BY54" i="5"/>
  <c r="AZ54" i="5"/>
  <c r="BJ27" i="5"/>
  <c r="CK27" i="5"/>
  <c r="BE54" i="5"/>
  <c r="CA54" i="5"/>
  <c r="BG27" i="5"/>
  <c r="CC27" i="5"/>
  <c r="BW54" i="5"/>
  <c r="AV54" i="5"/>
  <c r="BC54" i="5" s="1"/>
  <c r="BF59" i="5"/>
  <c r="AV27" i="5"/>
  <c r="BC27" i="5" s="1"/>
  <c r="BE6" i="5"/>
  <c r="BH27" i="5"/>
  <c r="BH54" i="5"/>
  <c r="BF54" i="5"/>
  <c r="BQ27" i="5"/>
  <c r="AZ68" i="5"/>
  <c r="BF14" i="5"/>
  <c r="CD14" i="5"/>
  <c r="BT27" i="5"/>
  <c r="BI54" i="5"/>
  <c r="BA7" i="5"/>
  <c r="BP7" i="5" s="1"/>
  <c r="BM35" i="5"/>
  <c r="CA6" i="5"/>
  <c r="BJ8" i="5"/>
  <c r="CH6" i="5"/>
  <c r="BV8" i="5"/>
  <c r="BF6" i="5"/>
  <c r="BA38" i="5"/>
  <c r="BP38" i="5" s="1"/>
  <c r="BK38" i="5"/>
  <c r="BV38" i="5"/>
  <c r="CI38" i="5"/>
  <c r="BJ4" i="5"/>
  <c r="BW4" i="5"/>
  <c r="CI4" i="5"/>
  <c r="BG22" i="5"/>
  <c r="BS22" i="5"/>
  <c r="CE22" i="5"/>
  <c r="BA14" i="5"/>
  <c r="BP14" i="5" s="1"/>
  <c r="BM14" i="5"/>
  <c r="CE14" i="5"/>
  <c r="BU6" i="5"/>
  <c r="BI8" i="5"/>
  <c r="CE8" i="5"/>
  <c r="BS6" i="5"/>
  <c r="BJ62" i="5"/>
  <c r="CC62" i="5"/>
  <c r="AA44" i="13"/>
  <c r="AY59" i="5"/>
  <c r="BY59" i="5"/>
  <c r="BE68" i="5"/>
  <c r="BS68" i="5"/>
  <c r="AZ44" i="5"/>
  <c r="BW59" i="5"/>
  <c r="CA59" i="5"/>
  <c r="BI68" i="5"/>
  <c r="BQ68" i="5"/>
  <c r="BF44" i="5"/>
  <c r="BE62" i="5"/>
  <c r="BU62" i="5"/>
  <c r="BJ6" i="5"/>
  <c r="CI6" i="5"/>
  <c r="BI27" i="5"/>
  <c r="BM27" i="5"/>
  <c r="BM54" i="5"/>
  <c r="CD54" i="5"/>
  <c r="BE59" i="5"/>
  <c r="CE59" i="5"/>
  <c r="BJ68" i="5"/>
  <c r="BV68" i="5"/>
  <c r="BU44" i="5"/>
  <c r="BV44" i="5"/>
  <c r="AU68" i="5"/>
  <c r="BN68" i="5" s="1"/>
  <c r="BM59" i="5"/>
  <c r="CD59" i="5"/>
  <c r="BM68" i="5"/>
  <c r="CF68" i="5"/>
  <c r="CD44" i="5"/>
  <c r="BI62" i="5"/>
  <c r="BY62" i="5"/>
  <c r="BQ59" i="5"/>
  <c r="CF59" i="5"/>
  <c r="BH68" i="5"/>
  <c r="BY68" i="5"/>
  <c r="BA59" i="5"/>
  <c r="BP59" i="5" s="1"/>
  <c r="BK59" i="5"/>
  <c r="BA68" i="5"/>
  <c r="BP68" i="5" s="1"/>
  <c r="BR68" i="5"/>
  <c r="CD68" i="5"/>
  <c r="BD59" i="5"/>
  <c r="BT59" i="5"/>
  <c r="BD68" i="5"/>
  <c r="CE68" i="5"/>
  <c r="CK68" i="5"/>
  <c r="BB6" i="5"/>
  <c r="BI6" i="5"/>
  <c r="BX6" i="5"/>
  <c r="AT97" i="5"/>
  <c r="AZ6" i="5"/>
  <c r="BD6" i="5"/>
  <c r="CD6" i="5"/>
  <c r="BH14" i="5"/>
  <c r="BQ14" i="5"/>
  <c r="CK14" i="5"/>
  <c r="AV44" i="5"/>
  <c r="BC44" i="5" s="1"/>
  <c r="BG6" i="5"/>
  <c r="BQ6" i="5"/>
  <c r="CJ6" i="5"/>
  <c r="G18" i="10"/>
  <c r="BT6" i="5"/>
  <c r="BZ6" i="5"/>
  <c r="CK6" i="5"/>
  <c r="AY14" i="5"/>
  <c r="BI14" i="5"/>
  <c r="CC14" i="5"/>
  <c r="BA6" i="5"/>
  <c r="BP6" i="5" s="1"/>
  <c r="BR6" i="5"/>
  <c r="BV6" i="5"/>
  <c r="BD38" i="5"/>
  <c r="L15" i="10"/>
  <c r="AX97" i="5"/>
  <c r="BH16" i="5"/>
  <c r="BG7" i="5"/>
  <c r="AU97" i="5"/>
  <c r="CD16" i="5"/>
  <c r="BU7" i="5"/>
  <c r="BR54" i="5"/>
  <c r="CK54" i="5"/>
  <c r="BP19" i="5"/>
  <c r="BX19" i="5" s="1"/>
  <c r="AZ27" i="5"/>
  <c r="CA27" i="5"/>
  <c r="CD27" i="5"/>
  <c r="AY54" i="5"/>
  <c r="BQ54" i="5"/>
  <c r="AY70" i="5"/>
  <c r="N38" i="13"/>
  <c r="BU70" i="5"/>
  <c r="BJ70" i="5"/>
  <c r="BR70" i="5"/>
  <c r="CC70" i="5"/>
  <c r="CK70" i="5"/>
  <c r="I38" i="13"/>
  <c r="AB38" i="13" s="1"/>
  <c r="AB44" i="13" s="1"/>
  <c r="H41" i="13"/>
  <c r="BR30" i="5"/>
  <c r="CD30" i="5"/>
  <c r="J10" i="13"/>
  <c r="AV97" i="5"/>
  <c r="BT30" i="5"/>
  <c r="BH30" i="5"/>
  <c r="BU30" i="5"/>
  <c r="CK30" i="5"/>
  <c r="BS16" i="5"/>
  <c r="BL6" i="5"/>
  <c r="BM6" i="5"/>
  <c r="BY6" i="5"/>
  <c r="AZ70" i="5"/>
  <c r="BI70" i="5"/>
  <c r="BV70" i="5"/>
  <c r="CE70" i="5"/>
  <c r="AY8" i="5"/>
  <c r="BM8" i="5"/>
  <c r="CF8" i="5"/>
  <c r="AU40" i="5"/>
  <c r="BB40" i="5" s="1"/>
  <c r="BA46" i="5"/>
  <c r="BP46" i="5" s="1"/>
  <c r="BM46" i="5"/>
  <c r="BU46" i="5"/>
  <c r="AU30" i="5"/>
  <c r="BN30" i="5" s="1"/>
  <c r="AZ38" i="5"/>
  <c r="BT38" i="5"/>
  <c r="BW38" i="5"/>
  <c r="BA30" i="5"/>
  <c r="BP30" i="5" s="1"/>
  <c r="BK30" i="5"/>
  <c r="BV30" i="5"/>
  <c r="CE30" i="5"/>
  <c r="AV7" i="5"/>
  <c r="BO7" i="5" s="1"/>
  <c r="BI4" i="5"/>
  <c r="BR4" i="5"/>
  <c r="CC4" i="5"/>
  <c r="BK22" i="5"/>
  <c r="BU22" i="5"/>
  <c r="CI22" i="5"/>
  <c r="BK31" i="5"/>
  <c r="BL31" i="5" s="1"/>
  <c r="BR31" i="5"/>
  <c r="CE31" i="5"/>
  <c r="BM40" i="5"/>
  <c r="BJ40" i="5"/>
  <c r="BL40" i="5" s="1"/>
  <c r="AV6" i="5"/>
  <c r="BO6" i="5" s="1"/>
  <c r="AZ14" i="5"/>
  <c r="CF14" i="5"/>
  <c r="CC16" i="5"/>
  <c r="BA62" i="5"/>
  <c r="BP62" i="5" s="1"/>
  <c r="BK62" i="5"/>
  <c r="BV62" i="5"/>
  <c r="CI62" i="5"/>
  <c r="BH6" i="5"/>
  <c r="BN6" i="5"/>
  <c r="BW6" i="5"/>
  <c r="BG70" i="5"/>
  <c r="BT70" i="5"/>
  <c r="BX70" i="5"/>
  <c r="CG70" i="5"/>
  <c r="BE8" i="5"/>
  <c r="BS8" i="5"/>
  <c r="BE27" i="5"/>
  <c r="BV27" i="5"/>
  <c r="AZ36" i="5"/>
  <c r="BR36" i="5"/>
  <c r="CC36" i="5"/>
  <c r="BJ54" i="5"/>
  <c r="BT54" i="5"/>
  <c r="CI54" i="5"/>
  <c r="BB67" i="5"/>
  <c r="AY97" i="5"/>
  <c r="BE70" i="5"/>
  <c r="BS70" i="5"/>
  <c r="BW70" i="5"/>
  <c r="BL70" i="5"/>
  <c r="BQ70" i="5"/>
  <c r="CA70" i="5"/>
  <c r="AS90" i="5"/>
  <c r="AS91" i="5" s="1"/>
  <c r="BM70" i="5"/>
  <c r="CF70" i="5"/>
  <c r="CD70" i="5"/>
  <c r="BA97" i="5"/>
  <c r="BB70" i="5"/>
  <c r="BF70" i="5"/>
  <c r="BZ70" i="5"/>
  <c r="CH70" i="5"/>
  <c r="AY44" i="5"/>
  <c r="BM44" i="5"/>
  <c r="CK44" i="5"/>
  <c r="BC4" i="5"/>
  <c r="BE4" i="5"/>
  <c r="BM4" i="5"/>
  <c r="CF4" i="5"/>
  <c r="BR22" i="5"/>
  <c r="BT22" i="5"/>
  <c r="BI59" i="5"/>
  <c r="BH59" i="5"/>
  <c r="CI59" i="5"/>
  <c r="CK59" i="5"/>
  <c r="BG68" i="5"/>
  <c r="BT68" i="5"/>
  <c r="CC68" i="5"/>
  <c r="AV70" i="5"/>
  <c r="BO70" i="5" s="1"/>
  <c r="BB44" i="5"/>
  <c r="BZ44" i="5" s="1"/>
  <c r="BK44" i="5"/>
  <c r="BW44" i="5"/>
  <c r="CI44" i="5"/>
  <c r="BH62" i="5"/>
  <c r="BN62" i="5"/>
  <c r="BZ62" i="5" s="1"/>
  <c r="CA62" i="5"/>
  <c r="BA70" i="5"/>
  <c r="BP70" i="5" s="1"/>
  <c r="CB70" i="5" s="1"/>
  <c r="BH70" i="5"/>
  <c r="BN70" i="5"/>
  <c r="BY70" i="5"/>
  <c r="CI70" i="5"/>
  <c r="AV8" i="5"/>
  <c r="BO8" i="5" s="1"/>
  <c r="BD8" i="5"/>
  <c r="BT8" i="5"/>
  <c r="CI8" i="5"/>
  <c r="BD27" i="5"/>
  <c r="CB27" i="5" s="1"/>
  <c r="BK27" i="5"/>
  <c r="CI27" i="5"/>
  <c r="BA54" i="5"/>
  <c r="BP54" i="5" s="1"/>
  <c r="CB54" i="5" s="1"/>
  <c r="BK54" i="5"/>
  <c r="BV54" i="5"/>
  <c r="CE54" i="5"/>
  <c r="BI44" i="5"/>
  <c r="BR44" i="5"/>
  <c r="CA44" i="5"/>
  <c r="AT91" i="5"/>
  <c r="BG44" i="5"/>
  <c r="BS44" i="5"/>
  <c r="BY44" i="5"/>
  <c r="K18" i="10"/>
  <c r="AU59" i="5"/>
  <c r="BB59" i="5" s="1"/>
  <c r="BG59" i="5"/>
  <c r="BR59" i="5"/>
  <c r="BV59" i="5"/>
  <c r="AV68" i="5"/>
  <c r="BO68" i="5" s="1"/>
  <c r="BK68" i="5"/>
  <c r="BW68" i="5"/>
  <c r="CI68" i="5"/>
  <c r="BA44" i="5"/>
  <c r="BP44" i="5" s="1"/>
  <c r="BJ44" i="5"/>
  <c r="CE44" i="5"/>
  <c r="CC44" i="5"/>
  <c r="BA8" i="5"/>
  <c r="BP8" i="5" s="1"/>
  <c r="CB8" i="5" s="1"/>
  <c r="BQ8" i="5"/>
  <c r="BU8" i="5"/>
  <c r="AU27" i="5"/>
  <c r="BN27" i="5" s="1"/>
  <c r="BW27" i="5"/>
  <c r="BS27" i="5"/>
  <c r="BG54" i="5"/>
  <c r="BS54" i="5"/>
  <c r="BC59" i="5"/>
  <c r="AZ59" i="5"/>
  <c r="BJ59" i="5"/>
  <c r="BS59" i="5"/>
  <c r="CC59" i="5"/>
  <c r="AY68" i="5"/>
  <c r="BF68" i="5"/>
  <c r="BD44" i="5"/>
  <c r="BE44" i="5"/>
  <c r="BT44" i="5"/>
  <c r="CF44" i="5"/>
  <c r="BK8" i="5"/>
  <c r="BR8" i="5"/>
  <c r="J18" i="10"/>
  <c r="BQ44" i="5"/>
  <c r="AU91" i="5"/>
  <c r="J11" i="13"/>
  <c r="AB11" i="13"/>
  <c r="G39" i="13"/>
  <c r="AA11" i="13"/>
  <c r="L17" i="10"/>
  <c r="H13" i="13"/>
  <c r="N12" i="13"/>
  <c r="N13" i="13" s="1"/>
  <c r="L40" i="13"/>
  <c r="L13" i="13"/>
  <c r="AC10" i="13"/>
  <c r="I39" i="13"/>
  <c r="I13" i="13"/>
  <c r="BO38" i="5"/>
  <c r="AY6" i="5"/>
  <c r="BK6" i="5"/>
  <c r="CF6" i="5"/>
  <c r="CG6" i="5"/>
  <c r="CE6" i="5"/>
  <c r="AV36" i="5"/>
  <c r="BC36" i="5" s="1"/>
  <c r="BK36" i="5"/>
  <c r="BL36" i="5" s="1"/>
  <c r="BW36" i="5"/>
  <c r="E18" i="10"/>
  <c r="H15" i="10"/>
  <c r="G13" i="13"/>
  <c r="H17" i="10"/>
  <c r="D18" i="10"/>
  <c r="D21" i="10" s="1"/>
  <c r="F13" i="13"/>
  <c r="F16" i="13" s="1"/>
  <c r="F38" i="13"/>
  <c r="F41" i="13" s="1"/>
  <c r="F43" i="13" s="1"/>
  <c r="G40" i="13"/>
  <c r="J40" i="13" s="1"/>
  <c r="J12" i="13"/>
  <c r="H16" i="10"/>
  <c r="CB31" i="5"/>
  <c r="F67" i="13"/>
  <c r="I11" i="12"/>
  <c r="I39" i="12" s="1"/>
  <c r="AB39" i="12" s="1"/>
  <c r="G5" i="10"/>
  <c r="BE16" i="5"/>
  <c r="BD16" i="5"/>
  <c r="BM16" i="5"/>
  <c r="CI16" i="5"/>
  <c r="AZ7" i="5"/>
  <c r="BM7" i="5"/>
  <c r="BW7" i="5"/>
  <c r="CF7" i="5"/>
  <c r="BF35" i="5"/>
  <c r="BR35" i="5"/>
  <c r="CA35" i="5"/>
  <c r="G11" i="12"/>
  <c r="E5" i="10"/>
  <c r="AZ16" i="5"/>
  <c r="BG16" i="5"/>
  <c r="BT16" i="5"/>
  <c r="CF16" i="5"/>
  <c r="BJ7" i="5"/>
  <c r="BV7" i="5"/>
  <c r="CA7" i="5"/>
  <c r="AU35" i="5"/>
  <c r="BB35" i="5" s="1"/>
  <c r="BG35" i="5"/>
  <c r="BS35" i="5"/>
  <c r="BV35" i="5"/>
  <c r="BC35" i="5"/>
  <c r="AY7" i="5"/>
  <c r="BV16" i="5"/>
  <c r="BJ16" i="5"/>
  <c r="BY16" i="5"/>
  <c r="BH7" i="5"/>
  <c r="BQ7" i="5"/>
  <c r="CD7" i="5"/>
  <c r="AZ35" i="5"/>
  <c r="BJ35" i="5"/>
  <c r="BW35" i="5"/>
  <c r="CC35" i="5"/>
  <c r="BA16" i="5"/>
  <c r="BP16" i="5" s="1"/>
  <c r="BN16" i="5"/>
  <c r="BZ16" i="5" s="1"/>
  <c r="BW16" i="5"/>
  <c r="AU7" i="5"/>
  <c r="BN7" i="5" s="1"/>
  <c r="BK7" i="5"/>
  <c r="BR7" i="5"/>
  <c r="CK7" i="5"/>
  <c r="BA35" i="5"/>
  <c r="BP35" i="5" s="1"/>
  <c r="BE35" i="5"/>
  <c r="BT35" i="5"/>
  <c r="CF35" i="5"/>
  <c r="BP43" i="5"/>
  <c r="BX43" i="5" s="1"/>
  <c r="BP3" i="5"/>
  <c r="BK16" i="5"/>
  <c r="CA16" i="5"/>
  <c r="BU16" i="5"/>
  <c r="BF7" i="5"/>
  <c r="BS7" i="5"/>
  <c r="CE7" i="5"/>
  <c r="BD35" i="5"/>
  <c r="BH35" i="5"/>
  <c r="BY35" i="5"/>
  <c r="CD35" i="5"/>
  <c r="AV16" i="5"/>
  <c r="BO16" i="5" s="1"/>
  <c r="BF16" i="5"/>
  <c r="BQ16" i="5"/>
  <c r="CK16" i="5"/>
  <c r="BI7" i="5"/>
  <c r="BT7" i="5"/>
  <c r="CI7" i="5"/>
  <c r="AY35" i="5"/>
  <c r="BK35" i="5"/>
  <c r="BU35" i="5"/>
  <c r="CK35" i="5"/>
  <c r="AY16" i="5"/>
  <c r="BI16" i="5"/>
  <c r="BR16" i="5"/>
  <c r="CE16" i="5"/>
  <c r="BE7" i="5"/>
  <c r="BD7" i="5"/>
  <c r="BY7" i="5"/>
  <c r="BI35" i="5"/>
  <c r="BO35" i="5"/>
  <c r="CI35" i="5"/>
  <c r="F67" i="12"/>
  <c r="BZ38" i="5"/>
  <c r="CB22" i="5"/>
  <c r="CB40" i="5"/>
  <c r="BN3" i="5"/>
  <c r="BO40" i="5"/>
  <c r="CB6" i="5"/>
  <c r="CB36" i="5"/>
  <c r="CB13" i="5"/>
  <c r="AU14" i="5"/>
  <c r="AV14" i="5"/>
  <c r="BP51" i="5"/>
  <c r="BX51" i="5" s="1"/>
  <c r="BN11" i="5"/>
  <c r="BZ11" i="5" s="1"/>
  <c r="CB14" i="5"/>
  <c r="AV46" i="5"/>
  <c r="AU46" i="5"/>
  <c r="CI20" i="5"/>
  <c r="CE20" i="5"/>
  <c r="CK20" i="5"/>
  <c r="CD20" i="5"/>
  <c r="CF20" i="5"/>
  <c r="CC20" i="5"/>
  <c r="BY20" i="5"/>
  <c r="BT20" i="5"/>
  <c r="CA20" i="5"/>
  <c r="BV20" i="5"/>
  <c r="BW20" i="5"/>
  <c r="BQ20" i="5"/>
  <c r="BU20" i="5"/>
  <c r="BS20" i="5"/>
  <c r="BM20" i="5"/>
  <c r="BR20" i="5"/>
  <c r="BF20" i="5"/>
  <c r="BK20" i="5"/>
  <c r="BH20" i="5"/>
  <c r="BE20" i="5"/>
  <c r="BJ20" i="5"/>
  <c r="BG20" i="5"/>
  <c r="BI20" i="5"/>
  <c r="AZ20" i="5"/>
  <c r="AY20" i="5"/>
  <c r="AV20" i="5"/>
  <c r="BC20" i="5" s="1"/>
  <c r="BA20" i="5"/>
  <c r="BP20" i="5" s="1"/>
  <c r="BD20" i="5"/>
  <c r="AU20" i="5"/>
  <c r="BN20" i="5" s="1"/>
  <c r="BO30" i="5"/>
  <c r="CI76" i="5"/>
  <c r="CK76" i="5"/>
  <c r="CG76" i="5"/>
  <c r="CD76" i="5"/>
  <c r="CH76" i="5"/>
  <c r="CF76" i="5"/>
  <c r="CJ76" i="5"/>
  <c r="CC76" i="5"/>
  <c r="BY76" i="5"/>
  <c r="CE76" i="5"/>
  <c r="CA76" i="5"/>
  <c r="BV76" i="5"/>
  <c r="BW76" i="5"/>
  <c r="BX76" i="5"/>
  <c r="BQ76" i="5"/>
  <c r="BZ76" i="5"/>
  <c r="BT76" i="5"/>
  <c r="BS76" i="5"/>
  <c r="BU76" i="5"/>
  <c r="BR76" i="5"/>
  <c r="BF76" i="5"/>
  <c r="BK76" i="5"/>
  <c r="BM76" i="5"/>
  <c r="BH76" i="5"/>
  <c r="BJ76" i="5"/>
  <c r="BG76" i="5"/>
  <c r="BL76" i="5"/>
  <c r="BI76" i="5"/>
  <c r="AZ76" i="5"/>
  <c r="AY76" i="5"/>
  <c r="AV76" i="5"/>
  <c r="BO76" i="5" s="1"/>
  <c r="BD76" i="5"/>
  <c r="BA76" i="5"/>
  <c r="BP76" i="5" s="1"/>
  <c r="BE76" i="5"/>
  <c r="AU76" i="5"/>
  <c r="BN76" i="5" s="1"/>
  <c r="BL13" i="5"/>
  <c r="CI2" i="5"/>
  <c r="CE2" i="5"/>
  <c r="CK2" i="5"/>
  <c r="AT79" i="5"/>
  <c r="AT80" i="5" s="1"/>
  <c r="AS79" i="5"/>
  <c r="AS80" i="5" s="1"/>
  <c r="CF2" i="5"/>
  <c r="BW2" i="5"/>
  <c r="CC2" i="5"/>
  <c r="BY2" i="5"/>
  <c r="CA2" i="5"/>
  <c r="BV2" i="5"/>
  <c r="BQ2" i="5"/>
  <c r="BT2" i="5"/>
  <c r="BS2" i="5"/>
  <c r="CD2" i="5"/>
  <c r="BU2" i="5"/>
  <c r="BR2" i="5"/>
  <c r="BI2" i="5"/>
  <c r="BF2" i="5"/>
  <c r="BK2" i="5"/>
  <c r="BM2" i="5"/>
  <c r="BH2" i="5"/>
  <c r="BE2" i="5"/>
  <c r="BJ2" i="5"/>
  <c r="BG2" i="5"/>
  <c r="AZ2" i="5"/>
  <c r="AY2" i="5"/>
  <c r="BD2" i="5"/>
  <c r="BA2" i="5"/>
  <c r="BP2" i="5" s="1"/>
  <c r="AV2" i="5"/>
  <c r="BC2" i="5" s="1"/>
  <c r="AU2" i="5"/>
  <c r="BB2" i="5" s="1"/>
  <c r="CI69" i="5"/>
  <c r="CE69" i="5"/>
  <c r="CK69" i="5"/>
  <c r="CF69" i="5"/>
  <c r="BW69" i="5"/>
  <c r="BY69" i="5"/>
  <c r="CD69" i="5"/>
  <c r="BV69" i="5"/>
  <c r="CA69" i="5"/>
  <c r="BQ69" i="5"/>
  <c r="CC69" i="5"/>
  <c r="BU69" i="5"/>
  <c r="BS69" i="5"/>
  <c r="BT69" i="5"/>
  <c r="BR69" i="5"/>
  <c r="BI69" i="5"/>
  <c r="BF69" i="5"/>
  <c r="BK69" i="5"/>
  <c r="BM69" i="5"/>
  <c r="BH69" i="5"/>
  <c r="BE69" i="5"/>
  <c r="BJ69" i="5"/>
  <c r="AZ69" i="5"/>
  <c r="AY69" i="5"/>
  <c r="BD69" i="5"/>
  <c r="BG69" i="5"/>
  <c r="AV69" i="5"/>
  <c r="BC69" i="5" s="1"/>
  <c r="BA69" i="5"/>
  <c r="BP69" i="5" s="1"/>
  <c r="AU69" i="5"/>
  <c r="BN69" i="5" s="1"/>
  <c r="CH61" i="5"/>
  <c r="CJ61" i="5"/>
  <c r="CI61" i="5"/>
  <c r="CE61" i="5"/>
  <c r="CK61" i="5"/>
  <c r="CG61" i="5"/>
  <c r="CF61" i="5"/>
  <c r="BX61" i="5"/>
  <c r="BW61" i="5"/>
  <c r="BY61" i="5"/>
  <c r="CC61" i="5"/>
  <c r="BV61" i="5"/>
  <c r="CD61" i="5"/>
  <c r="BU61" i="5"/>
  <c r="BQ61" i="5"/>
  <c r="BS61" i="5"/>
  <c r="CA61" i="5"/>
  <c r="BT61" i="5"/>
  <c r="BR61" i="5"/>
  <c r="BZ61" i="5"/>
  <c r="BI61" i="5"/>
  <c r="BF61" i="5"/>
  <c r="BL61" i="5"/>
  <c r="BK61" i="5"/>
  <c r="BM61" i="5"/>
  <c r="BH61" i="5"/>
  <c r="BE61" i="5"/>
  <c r="BJ61" i="5"/>
  <c r="AZ61" i="5"/>
  <c r="AY61" i="5"/>
  <c r="BD61" i="5"/>
  <c r="BG61" i="5"/>
  <c r="AV61" i="5"/>
  <c r="BO61" i="5" s="1"/>
  <c r="AU61" i="5"/>
  <c r="BB61" i="5" s="1"/>
  <c r="BA61" i="5"/>
  <c r="BP61" i="5" s="1"/>
  <c r="CI53" i="5"/>
  <c r="CE53" i="5"/>
  <c r="CK53" i="5"/>
  <c r="CF53" i="5"/>
  <c r="CC53" i="5"/>
  <c r="CA53" i="5"/>
  <c r="BW53" i="5"/>
  <c r="BY53" i="5"/>
  <c r="BV53" i="5"/>
  <c r="CD53" i="5"/>
  <c r="BQ53" i="5"/>
  <c r="BS53" i="5"/>
  <c r="BU53" i="5"/>
  <c r="BR53" i="5"/>
  <c r="BI53" i="5"/>
  <c r="BF53" i="5"/>
  <c r="BK53" i="5"/>
  <c r="BM53" i="5"/>
  <c r="BH53" i="5"/>
  <c r="BE53" i="5"/>
  <c r="BJ53" i="5"/>
  <c r="AZ53" i="5"/>
  <c r="BT53" i="5"/>
  <c r="AY53" i="5"/>
  <c r="BG53" i="5"/>
  <c r="BD53" i="5"/>
  <c r="AV53" i="5"/>
  <c r="BO53" i="5" s="1"/>
  <c r="BA53" i="5"/>
  <c r="BP53" i="5" s="1"/>
  <c r="AU53" i="5"/>
  <c r="BN53" i="5" s="1"/>
  <c r="BB36" i="5"/>
  <c r="BZ36" i="5" s="1"/>
  <c r="BB51" i="5"/>
  <c r="BZ51" i="5" s="1"/>
  <c r="CD10" i="5"/>
  <c r="CA10" i="5"/>
  <c r="CF10" i="5"/>
  <c r="CI10" i="5"/>
  <c r="CE10" i="5"/>
  <c r="CC10" i="5"/>
  <c r="BV10" i="5"/>
  <c r="BU10" i="5"/>
  <c r="CK10" i="5"/>
  <c r="BT10" i="5"/>
  <c r="BW10" i="5"/>
  <c r="BS10" i="5"/>
  <c r="BM10" i="5"/>
  <c r="BR10" i="5"/>
  <c r="BY10" i="5"/>
  <c r="BQ10" i="5"/>
  <c r="BH10" i="5"/>
  <c r="BE10" i="5"/>
  <c r="BJ10" i="5"/>
  <c r="BG10" i="5"/>
  <c r="BD10" i="5"/>
  <c r="BI10" i="5"/>
  <c r="BK10" i="5"/>
  <c r="BF10" i="5"/>
  <c r="AY10" i="5"/>
  <c r="BA10" i="5"/>
  <c r="BP10" i="5" s="1"/>
  <c r="AZ10" i="5"/>
  <c r="AV10" i="5"/>
  <c r="BO10" i="5" s="1"/>
  <c r="AU10" i="5"/>
  <c r="BN10" i="5" s="1"/>
  <c r="CI28" i="5"/>
  <c r="CE28" i="5"/>
  <c r="CK28" i="5"/>
  <c r="CD28" i="5"/>
  <c r="CF28" i="5"/>
  <c r="CC28" i="5"/>
  <c r="BY28" i="5"/>
  <c r="BV28" i="5"/>
  <c r="BW28" i="5"/>
  <c r="BT28" i="5"/>
  <c r="BQ28" i="5"/>
  <c r="BS28" i="5"/>
  <c r="BU28" i="5"/>
  <c r="BM28" i="5"/>
  <c r="BR28" i="5"/>
  <c r="BF28" i="5"/>
  <c r="BK28" i="5"/>
  <c r="BH28" i="5"/>
  <c r="BE28" i="5"/>
  <c r="BJ28" i="5"/>
  <c r="CA28" i="5"/>
  <c r="BG28" i="5"/>
  <c r="BI28" i="5"/>
  <c r="AZ28" i="5"/>
  <c r="AY28" i="5"/>
  <c r="AV28" i="5"/>
  <c r="BC28" i="5" s="1"/>
  <c r="BD28" i="5"/>
  <c r="BA28" i="5"/>
  <c r="BP28" i="5" s="1"/>
  <c r="AU28" i="5"/>
  <c r="BB28" i="5" s="1"/>
  <c r="CI37" i="5"/>
  <c r="CE37" i="5"/>
  <c r="CK37" i="5"/>
  <c r="CF37" i="5"/>
  <c r="BW37" i="5"/>
  <c r="BY37" i="5"/>
  <c r="BT37" i="5"/>
  <c r="CC37" i="5"/>
  <c r="BV37" i="5"/>
  <c r="CA37" i="5"/>
  <c r="CD37" i="5"/>
  <c r="BQ37" i="5"/>
  <c r="BS37" i="5"/>
  <c r="BM37" i="5"/>
  <c r="BR37" i="5"/>
  <c r="BI37" i="5"/>
  <c r="BU37" i="5"/>
  <c r="BF37" i="5"/>
  <c r="BK37" i="5"/>
  <c r="BH37" i="5"/>
  <c r="BE37" i="5"/>
  <c r="BJ37" i="5"/>
  <c r="AZ37" i="5"/>
  <c r="BG37" i="5"/>
  <c r="AY37" i="5"/>
  <c r="BD37" i="5"/>
  <c r="BA37" i="5"/>
  <c r="BP37" i="5" s="1"/>
  <c r="AU37" i="5"/>
  <c r="BN37" i="5" s="1"/>
  <c r="AV37" i="5"/>
  <c r="BC37" i="5" s="1"/>
  <c r="CF55" i="5"/>
  <c r="CC55" i="5"/>
  <c r="CI55" i="5"/>
  <c r="CE55" i="5"/>
  <c r="CK55" i="5"/>
  <c r="CG55" i="5"/>
  <c r="CH55" i="5"/>
  <c r="CD55" i="5"/>
  <c r="BZ55" i="5"/>
  <c r="BU55" i="5"/>
  <c r="CA55" i="5"/>
  <c r="BW55" i="5"/>
  <c r="BY55" i="5"/>
  <c r="CJ55" i="5"/>
  <c r="BV55" i="5"/>
  <c r="BR55" i="5"/>
  <c r="BT55" i="5"/>
  <c r="BQ55" i="5"/>
  <c r="BS55" i="5"/>
  <c r="BL55" i="5"/>
  <c r="BG55" i="5"/>
  <c r="BI55" i="5"/>
  <c r="BX55" i="5"/>
  <c r="BF55" i="5"/>
  <c r="BK55" i="5"/>
  <c r="BM55" i="5"/>
  <c r="BH55" i="5"/>
  <c r="BJ55" i="5"/>
  <c r="BE55" i="5"/>
  <c r="BA55" i="5"/>
  <c r="BP55" i="5" s="1"/>
  <c r="AZ55" i="5"/>
  <c r="BD55" i="5"/>
  <c r="AY55" i="5"/>
  <c r="AU55" i="5"/>
  <c r="BN55" i="5" s="1"/>
  <c r="AV55" i="5"/>
  <c r="BO55" i="5" s="1"/>
  <c r="CI29" i="5"/>
  <c r="CE29" i="5"/>
  <c r="CK29" i="5"/>
  <c r="CA29" i="5"/>
  <c r="CF29" i="5"/>
  <c r="BW29" i="5"/>
  <c r="BY29" i="5"/>
  <c r="BT29" i="5"/>
  <c r="CD29" i="5"/>
  <c r="BV29" i="5"/>
  <c r="CC29" i="5"/>
  <c r="BQ29" i="5"/>
  <c r="BS29" i="5"/>
  <c r="BU29" i="5"/>
  <c r="BM29" i="5"/>
  <c r="BR29" i="5"/>
  <c r="BI29" i="5"/>
  <c r="BF29" i="5"/>
  <c r="BK29" i="5"/>
  <c r="BH29" i="5"/>
  <c r="BE29" i="5"/>
  <c r="BJ29" i="5"/>
  <c r="AZ29" i="5"/>
  <c r="BG29" i="5"/>
  <c r="AY29" i="5"/>
  <c r="BA29" i="5"/>
  <c r="BP29" i="5" s="1"/>
  <c r="AU29" i="5"/>
  <c r="BN29" i="5" s="1"/>
  <c r="AV29" i="5"/>
  <c r="BO29" i="5" s="1"/>
  <c r="BD29" i="5"/>
  <c r="CF9" i="5"/>
  <c r="CC9" i="5"/>
  <c r="CI9" i="5"/>
  <c r="CE9" i="5"/>
  <c r="CK9" i="5"/>
  <c r="CA9" i="5"/>
  <c r="BU9" i="5"/>
  <c r="CD9" i="5"/>
  <c r="BW9" i="5"/>
  <c r="BV9" i="5"/>
  <c r="BT9" i="5"/>
  <c r="BS9" i="5"/>
  <c r="BM9" i="5"/>
  <c r="BR9" i="5"/>
  <c r="BY9" i="5"/>
  <c r="BQ9" i="5"/>
  <c r="BE9" i="5"/>
  <c r="BJ9" i="5"/>
  <c r="BG9" i="5"/>
  <c r="BI9" i="5"/>
  <c r="BF9" i="5"/>
  <c r="BH9" i="5"/>
  <c r="AY9" i="5"/>
  <c r="BK9" i="5"/>
  <c r="BD9" i="5"/>
  <c r="BA9" i="5"/>
  <c r="BP9" i="5" s="1"/>
  <c r="AZ9" i="5"/>
  <c r="AV9" i="5"/>
  <c r="BC9" i="5" s="1"/>
  <c r="AU9" i="5"/>
  <c r="BN9" i="5" s="1"/>
  <c r="CF41" i="5"/>
  <c r="CC41" i="5"/>
  <c r="CI41" i="5"/>
  <c r="CE41" i="5"/>
  <c r="CK41" i="5"/>
  <c r="CD41" i="5"/>
  <c r="BW41" i="5"/>
  <c r="CA41" i="5"/>
  <c r="BV41" i="5"/>
  <c r="BU41" i="5"/>
  <c r="BR41" i="5"/>
  <c r="BY41" i="5"/>
  <c r="BQ41" i="5"/>
  <c r="BE41" i="5"/>
  <c r="BJ41" i="5"/>
  <c r="BG41" i="5"/>
  <c r="BI41" i="5"/>
  <c r="BT41" i="5"/>
  <c r="BS41" i="5"/>
  <c r="BF41" i="5"/>
  <c r="BM41" i="5"/>
  <c r="BH41" i="5"/>
  <c r="AY41" i="5"/>
  <c r="BD41" i="5"/>
  <c r="BA41" i="5"/>
  <c r="BP41" i="5" s="1"/>
  <c r="AZ41" i="5"/>
  <c r="AV41" i="5"/>
  <c r="BO41" i="5" s="1"/>
  <c r="BK41" i="5"/>
  <c r="AU41" i="5"/>
  <c r="BB41" i="5" s="1"/>
  <c r="CG73" i="5"/>
  <c r="CF73" i="5"/>
  <c r="CC73" i="5"/>
  <c r="CH73" i="5"/>
  <c r="CJ73" i="5"/>
  <c r="CI73" i="5"/>
  <c r="CE73" i="5"/>
  <c r="CK73" i="5"/>
  <c r="BZ73" i="5"/>
  <c r="CD73" i="5"/>
  <c r="BX73" i="5"/>
  <c r="BW73" i="5"/>
  <c r="CA73" i="5"/>
  <c r="BV73" i="5"/>
  <c r="BT73" i="5"/>
  <c r="BR73" i="5"/>
  <c r="BY73" i="5"/>
  <c r="BU73" i="5"/>
  <c r="BQ73" i="5"/>
  <c r="BE73" i="5"/>
  <c r="BS73" i="5"/>
  <c r="BJ73" i="5"/>
  <c r="BG73" i="5"/>
  <c r="BI73" i="5"/>
  <c r="BF73" i="5"/>
  <c r="BM73" i="5"/>
  <c r="BH73" i="5"/>
  <c r="AY73" i="5"/>
  <c r="BL73" i="5"/>
  <c r="BD73" i="5"/>
  <c r="BK73" i="5"/>
  <c r="BA73" i="5"/>
  <c r="BP73" i="5" s="1"/>
  <c r="AZ73" i="5"/>
  <c r="AV73" i="5"/>
  <c r="BO73" i="5" s="1"/>
  <c r="AU73" i="5"/>
  <c r="BN73" i="5" s="1"/>
  <c r="CF71" i="5"/>
  <c r="CC71" i="5"/>
  <c r="CI71" i="5"/>
  <c r="CE71" i="5"/>
  <c r="CK71" i="5"/>
  <c r="CD71" i="5"/>
  <c r="BU71" i="5"/>
  <c r="BW71" i="5"/>
  <c r="BY71" i="5"/>
  <c r="BR71" i="5"/>
  <c r="BQ71" i="5"/>
  <c r="BV71" i="5"/>
  <c r="BS71" i="5"/>
  <c r="CA71" i="5"/>
  <c r="BT71" i="5"/>
  <c r="BG71" i="5"/>
  <c r="BI71" i="5"/>
  <c r="BF71" i="5"/>
  <c r="BK71" i="5"/>
  <c r="BM71" i="5"/>
  <c r="BH71" i="5"/>
  <c r="BJ71" i="5"/>
  <c r="BA71" i="5"/>
  <c r="BP71" i="5" s="1"/>
  <c r="AZ71" i="5"/>
  <c r="BE71" i="5"/>
  <c r="BD71" i="5"/>
  <c r="AY71" i="5"/>
  <c r="AV71" i="5"/>
  <c r="BO71" i="5" s="1"/>
  <c r="AU71" i="5"/>
  <c r="BN71" i="5" s="1"/>
  <c r="BB27" i="5"/>
  <c r="BZ27" i="5" s="1"/>
  <c r="BC3" i="5"/>
  <c r="BD3" i="5"/>
  <c r="BC51" i="5"/>
  <c r="BN19" i="5"/>
  <c r="BZ19" i="5" s="1"/>
  <c r="BB43" i="5"/>
  <c r="BZ43" i="5" s="1"/>
  <c r="BL75" i="5"/>
  <c r="BP75" i="5"/>
  <c r="CB75" i="5" s="1"/>
  <c r="BC67" i="5"/>
  <c r="CB4" i="5"/>
  <c r="BN31" i="5"/>
  <c r="BZ31" i="5" s="1"/>
  <c r="CI5" i="5"/>
  <c r="CE5" i="5"/>
  <c r="CK5" i="5"/>
  <c r="CA5" i="5"/>
  <c r="CF5" i="5"/>
  <c r="BW5" i="5"/>
  <c r="BY5" i="5"/>
  <c r="BT5" i="5"/>
  <c r="CD5" i="5"/>
  <c r="BV5" i="5"/>
  <c r="BQ5" i="5"/>
  <c r="CC5" i="5"/>
  <c r="BM5" i="5"/>
  <c r="BS5" i="5"/>
  <c r="BR5" i="5"/>
  <c r="BU5" i="5"/>
  <c r="BI5" i="5"/>
  <c r="BF5" i="5"/>
  <c r="BK5" i="5"/>
  <c r="BH5" i="5"/>
  <c r="BE5" i="5"/>
  <c r="BJ5" i="5"/>
  <c r="BD5" i="5"/>
  <c r="AZ5" i="5"/>
  <c r="AY5" i="5"/>
  <c r="BG5" i="5"/>
  <c r="AV5" i="5"/>
  <c r="BO5" i="5" s="1"/>
  <c r="BA5" i="5"/>
  <c r="BP5" i="5" s="1"/>
  <c r="AU5" i="5"/>
  <c r="BN5" i="5" s="1"/>
  <c r="CD18" i="5"/>
  <c r="CA18" i="5"/>
  <c r="CF18" i="5"/>
  <c r="CI18" i="5"/>
  <c r="CE18" i="5"/>
  <c r="BV18" i="5"/>
  <c r="CC18" i="5"/>
  <c r="BU18" i="5"/>
  <c r="CK18" i="5"/>
  <c r="BS18" i="5"/>
  <c r="BM18" i="5"/>
  <c r="BR18" i="5"/>
  <c r="BW18" i="5"/>
  <c r="BT18" i="5"/>
  <c r="BQ18" i="5"/>
  <c r="BH18" i="5"/>
  <c r="BY18" i="5"/>
  <c r="BE18" i="5"/>
  <c r="BJ18" i="5"/>
  <c r="BG18" i="5"/>
  <c r="BI18" i="5"/>
  <c r="BK18" i="5"/>
  <c r="AY18" i="5"/>
  <c r="BF18" i="5"/>
  <c r="BA18" i="5"/>
  <c r="BP18" i="5" s="1"/>
  <c r="AZ18" i="5"/>
  <c r="AV18" i="5"/>
  <c r="BO18" i="5" s="1"/>
  <c r="AU18" i="5"/>
  <c r="BB18" i="5" s="1"/>
  <c r="BD18" i="5"/>
  <c r="BO27" i="5"/>
  <c r="BL11" i="5"/>
  <c r="BC43" i="5"/>
  <c r="CD74" i="5"/>
  <c r="CF74" i="5"/>
  <c r="CI74" i="5"/>
  <c r="CE74" i="5"/>
  <c r="CC74" i="5"/>
  <c r="CA74" i="5"/>
  <c r="BV74" i="5"/>
  <c r="BU74" i="5"/>
  <c r="BS74" i="5"/>
  <c r="BT74" i="5"/>
  <c r="BW74" i="5"/>
  <c r="CK74" i="5"/>
  <c r="BR74" i="5"/>
  <c r="BY74" i="5"/>
  <c r="BQ74" i="5"/>
  <c r="BM74" i="5"/>
  <c r="BH74" i="5"/>
  <c r="BE74" i="5"/>
  <c r="BJ74" i="5"/>
  <c r="BG74" i="5"/>
  <c r="BI74" i="5"/>
  <c r="BK74" i="5"/>
  <c r="AY74" i="5"/>
  <c r="BF74" i="5"/>
  <c r="BD74" i="5"/>
  <c r="BA74" i="5"/>
  <c r="BP74" i="5" s="1"/>
  <c r="AZ74" i="5"/>
  <c r="AV74" i="5"/>
  <c r="BO74" i="5" s="1"/>
  <c r="AU74" i="5"/>
  <c r="BN74" i="5" s="1"/>
  <c r="CF56" i="5"/>
  <c r="CC56" i="5"/>
  <c r="CI56" i="5"/>
  <c r="CK56" i="5"/>
  <c r="CE56" i="5"/>
  <c r="BU56" i="5"/>
  <c r="CA56" i="5"/>
  <c r="BW56" i="5"/>
  <c r="BY56" i="5"/>
  <c r="BT56" i="5"/>
  <c r="BV56" i="5"/>
  <c r="BR56" i="5"/>
  <c r="CD56" i="5"/>
  <c r="BQ56" i="5"/>
  <c r="BS56" i="5"/>
  <c r="BJ56" i="5"/>
  <c r="BG56" i="5"/>
  <c r="BI56" i="5"/>
  <c r="BF56" i="5"/>
  <c r="BK56" i="5"/>
  <c r="BD56" i="5"/>
  <c r="BE56" i="5"/>
  <c r="BA56" i="5"/>
  <c r="BP56" i="5" s="1"/>
  <c r="BH56" i="5"/>
  <c r="AZ56" i="5"/>
  <c r="BM56" i="5"/>
  <c r="AY56" i="5"/>
  <c r="AV56" i="5"/>
  <c r="BC56" i="5" s="1"/>
  <c r="AU56" i="5"/>
  <c r="BN56" i="5" s="1"/>
  <c r="CI12" i="5"/>
  <c r="CE12" i="5"/>
  <c r="CK12" i="5"/>
  <c r="CD12" i="5"/>
  <c r="CF12" i="5"/>
  <c r="CC12" i="5"/>
  <c r="BY12" i="5"/>
  <c r="BT12" i="5"/>
  <c r="BV12" i="5"/>
  <c r="CA12" i="5"/>
  <c r="BW12" i="5"/>
  <c r="BU12" i="5"/>
  <c r="BQ12" i="5"/>
  <c r="BS12" i="5"/>
  <c r="BM12" i="5"/>
  <c r="BR12" i="5"/>
  <c r="BF12" i="5"/>
  <c r="BK12" i="5"/>
  <c r="BH12" i="5"/>
  <c r="BE12" i="5"/>
  <c r="BJ12" i="5"/>
  <c r="BG12" i="5"/>
  <c r="BI12" i="5"/>
  <c r="AZ12" i="5"/>
  <c r="BD12" i="5"/>
  <c r="AY12" i="5"/>
  <c r="AV12" i="5"/>
  <c r="BC12" i="5" s="1"/>
  <c r="BA12" i="5"/>
  <c r="BP12" i="5" s="1"/>
  <c r="AU12" i="5"/>
  <c r="BB12" i="5" s="1"/>
  <c r="CF17" i="5"/>
  <c r="CC17" i="5"/>
  <c r="CI17" i="5"/>
  <c r="CE17" i="5"/>
  <c r="CK17" i="5"/>
  <c r="BU17" i="5"/>
  <c r="BW17" i="5"/>
  <c r="CD17" i="5"/>
  <c r="CA17" i="5"/>
  <c r="BV17" i="5"/>
  <c r="BS17" i="5"/>
  <c r="BM17" i="5"/>
  <c r="BR17" i="5"/>
  <c r="BT17" i="5"/>
  <c r="BQ17" i="5"/>
  <c r="BY17" i="5"/>
  <c r="BE17" i="5"/>
  <c r="BJ17" i="5"/>
  <c r="BG17" i="5"/>
  <c r="BI17" i="5"/>
  <c r="BF17" i="5"/>
  <c r="BH17" i="5"/>
  <c r="AY17" i="5"/>
  <c r="BA17" i="5"/>
  <c r="BP17" i="5" s="1"/>
  <c r="BK17" i="5"/>
  <c r="BD17" i="5"/>
  <c r="AZ17" i="5"/>
  <c r="AV17" i="5"/>
  <c r="BC17" i="5" s="1"/>
  <c r="AU17" i="5"/>
  <c r="BB17" i="5" s="1"/>
  <c r="CG49" i="5"/>
  <c r="CF49" i="5"/>
  <c r="CC49" i="5"/>
  <c r="CH49" i="5"/>
  <c r="CJ49" i="5"/>
  <c r="CI49" i="5"/>
  <c r="CE49" i="5"/>
  <c r="CK49" i="5"/>
  <c r="BZ49" i="5"/>
  <c r="CD49" i="5"/>
  <c r="BX49" i="5"/>
  <c r="BW49" i="5"/>
  <c r="BV49" i="5"/>
  <c r="CA49" i="5"/>
  <c r="BR49" i="5"/>
  <c r="BU49" i="5"/>
  <c r="BT49" i="5"/>
  <c r="BQ49" i="5"/>
  <c r="BY49" i="5"/>
  <c r="BE49" i="5"/>
  <c r="BJ49" i="5"/>
  <c r="BG49" i="5"/>
  <c r="BI49" i="5"/>
  <c r="BF49" i="5"/>
  <c r="BM49" i="5"/>
  <c r="BH49" i="5"/>
  <c r="BL49" i="5"/>
  <c r="AY49" i="5"/>
  <c r="BD49" i="5"/>
  <c r="BA49" i="5"/>
  <c r="BP49" i="5" s="1"/>
  <c r="BS49" i="5"/>
  <c r="AZ49" i="5"/>
  <c r="BK49" i="5"/>
  <c r="AU49" i="5"/>
  <c r="BN49" i="5" s="1"/>
  <c r="AV49" i="5"/>
  <c r="BC49" i="5" s="1"/>
  <c r="BB4" i="5"/>
  <c r="BZ4" i="5" s="1"/>
  <c r="BB13" i="5"/>
  <c r="BZ13" i="5" s="1"/>
  <c r="BX31" i="5"/>
  <c r="BN40" i="5"/>
  <c r="BZ40" i="5" s="1"/>
  <c r="BX14" i="5"/>
  <c r="CB62" i="5"/>
  <c r="BC6" i="5"/>
  <c r="BB8" i="5"/>
  <c r="BZ8" i="5" s="1"/>
  <c r="BC19" i="5"/>
  <c r="BP11" i="5"/>
  <c r="CB11" i="5" s="1"/>
  <c r="BN75" i="5"/>
  <c r="BZ75" i="5" s="1"/>
  <c r="CH64" i="5"/>
  <c r="CF64" i="5"/>
  <c r="CJ64" i="5"/>
  <c r="CC64" i="5"/>
  <c r="CI64" i="5"/>
  <c r="CK64" i="5"/>
  <c r="CD64" i="5"/>
  <c r="CA64" i="5"/>
  <c r="BZ64" i="5"/>
  <c r="BX64" i="5"/>
  <c r="BU64" i="5"/>
  <c r="BW64" i="5"/>
  <c r="CG64" i="5"/>
  <c r="CE64" i="5"/>
  <c r="BY64" i="5"/>
  <c r="BT64" i="5"/>
  <c r="BR64" i="5"/>
  <c r="BV64" i="5"/>
  <c r="BQ64" i="5"/>
  <c r="BS64" i="5"/>
  <c r="BJ64" i="5"/>
  <c r="BG64" i="5"/>
  <c r="BL64" i="5"/>
  <c r="BI64" i="5"/>
  <c r="BF64" i="5"/>
  <c r="BK64" i="5"/>
  <c r="BD64" i="5"/>
  <c r="BA64" i="5"/>
  <c r="BP64" i="5" s="1"/>
  <c r="BE64" i="5"/>
  <c r="AZ64" i="5"/>
  <c r="BH64" i="5"/>
  <c r="AY64" i="5"/>
  <c r="AV64" i="5"/>
  <c r="BC64" i="5" s="1"/>
  <c r="BM64" i="5"/>
  <c r="AU64" i="5"/>
  <c r="BN64" i="5" s="1"/>
  <c r="CF47" i="5"/>
  <c r="CC47" i="5"/>
  <c r="CI47" i="5"/>
  <c r="CE47" i="5"/>
  <c r="CK47" i="5"/>
  <c r="CD47" i="5"/>
  <c r="BU47" i="5"/>
  <c r="BW47" i="5"/>
  <c r="CA47" i="5"/>
  <c r="BY47" i="5"/>
  <c r="BR47" i="5"/>
  <c r="BT47" i="5"/>
  <c r="BQ47" i="5"/>
  <c r="BS47" i="5"/>
  <c r="BV47" i="5"/>
  <c r="BG47" i="5"/>
  <c r="BI47" i="5"/>
  <c r="BF47" i="5"/>
  <c r="BK47" i="5"/>
  <c r="BM47" i="5"/>
  <c r="BH47" i="5"/>
  <c r="BJ47" i="5"/>
  <c r="BA47" i="5"/>
  <c r="BP47" i="5" s="1"/>
  <c r="AZ47" i="5"/>
  <c r="BD47" i="5"/>
  <c r="AU47" i="5"/>
  <c r="BN47" i="5" s="1"/>
  <c r="BE47" i="5"/>
  <c r="AV47" i="5"/>
  <c r="BC47" i="5" s="1"/>
  <c r="AY47" i="5"/>
  <c r="CD66" i="5"/>
  <c r="CA66" i="5"/>
  <c r="CF66" i="5"/>
  <c r="CI66" i="5"/>
  <c r="CE66" i="5"/>
  <c r="BV66" i="5"/>
  <c r="BU66" i="5"/>
  <c r="BW66" i="5"/>
  <c r="BS66" i="5"/>
  <c r="CK66" i="5"/>
  <c r="CC66" i="5"/>
  <c r="BT66" i="5"/>
  <c r="BY66" i="5"/>
  <c r="BR66" i="5"/>
  <c r="BQ66" i="5"/>
  <c r="BM66" i="5"/>
  <c r="BH66" i="5"/>
  <c r="BE66" i="5"/>
  <c r="BJ66" i="5"/>
  <c r="BG66" i="5"/>
  <c r="BI66" i="5"/>
  <c r="BK66" i="5"/>
  <c r="BF66" i="5"/>
  <c r="AY66" i="5"/>
  <c r="BD66" i="5"/>
  <c r="BA66" i="5"/>
  <c r="BP66" i="5" s="1"/>
  <c r="AZ66" i="5"/>
  <c r="AU66" i="5"/>
  <c r="BN66" i="5" s="1"/>
  <c r="AV66" i="5"/>
  <c r="BO66" i="5" s="1"/>
  <c r="CI21" i="5"/>
  <c r="CE21" i="5"/>
  <c r="CK21" i="5"/>
  <c r="CA21" i="5"/>
  <c r="CF21" i="5"/>
  <c r="CD21" i="5"/>
  <c r="BW21" i="5"/>
  <c r="BY21" i="5"/>
  <c r="BT21" i="5"/>
  <c r="BV21" i="5"/>
  <c r="CC21" i="5"/>
  <c r="BQ21" i="5"/>
  <c r="BU21" i="5"/>
  <c r="BS21" i="5"/>
  <c r="BM21" i="5"/>
  <c r="BR21" i="5"/>
  <c r="BI21" i="5"/>
  <c r="BF21" i="5"/>
  <c r="BK21" i="5"/>
  <c r="BH21" i="5"/>
  <c r="BE21" i="5"/>
  <c r="BJ21" i="5"/>
  <c r="BD21" i="5"/>
  <c r="BG21" i="5"/>
  <c r="AZ21" i="5"/>
  <c r="AY21" i="5"/>
  <c r="BA21" i="5"/>
  <c r="BP21" i="5" s="1"/>
  <c r="AV21" i="5"/>
  <c r="BO21" i="5" s="1"/>
  <c r="AU21" i="5"/>
  <c r="BB21" i="5" s="1"/>
  <c r="BB22" i="5"/>
  <c r="BZ22" i="5" s="1"/>
  <c r="CD50" i="5"/>
  <c r="CA50" i="5"/>
  <c r="CF50" i="5"/>
  <c r="CI50" i="5"/>
  <c r="CE50" i="5"/>
  <c r="BV50" i="5"/>
  <c r="CK50" i="5"/>
  <c r="BU50" i="5"/>
  <c r="CC50" i="5"/>
  <c r="BS50" i="5"/>
  <c r="BR50" i="5"/>
  <c r="BW50" i="5"/>
  <c r="BT50" i="5"/>
  <c r="BQ50" i="5"/>
  <c r="BM50" i="5"/>
  <c r="BH50" i="5"/>
  <c r="BE50" i="5"/>
  <c r="BY50" i="5"/>
  <c r="BJ50" i="5"/>
  <c r="BG50" i="5"/>
  <c r="BI50" i="5"/>
  <c r="BK50" i="5"/>
  <c r="AY50" i="5"/>
  <c r="BD50" i="5"/>
  <c r="BA50" i="5"/>
  <c r="BP50" i="5" s="1"/>
  <c r="BF50" i="5"/>
  <c r="AV50" i="5"/>
  <c r="BO50" i="5" s="1"/>
  <c r="AZ50" i="5"/>
  <c r="AU50" i="5"/>
  <c r="BB50" i="5" s="1"/>
  <c r="CF23" i="5"/>
  <c r="CC23" i="5"/>
  <c r="CI23" i="5"/>
  <c r="CE23" i="5"/>
  <c r="CK23" i="5"/>
  <c r="CD23" i="5"/>
  <c r="BU23" i="5"/>
  <c r="CA23" i="5"/>
  <c r="BW23" i="5"/>
  <c r="BY23" i="5"/>
  <c r="BT23" i="5"/>
  <c r="BV23" i="5"/>
  <c r="BR23" i="5"/>
  <c r="BQ23" i="5"/>
  <c r="BS23" i="5"/>
  <c r="BG23" i="5"/>
  <c r="BI23" i="5"/>
  <c r="BM23" i="5"/>
  <c r="BF23" i="5"/>
  <c r="BK23" i="5"/>
  <c r="BH23" i="5"/>
  <c r="BJ23" i="5"/>
  <c r="BE23" i="5"/>
  <c r="BA23" i="5"/>
  <c r="BP23" i="5" s="1"/>
  <c r="BD23" i="5"/>
  <c r="AZ23" i="5"/>
  <c r="AY23" i="5"/>
  <c r="AV23" i="5"/>
  <c r="BC23" i="5" s="1"/>
  <c r="AU23" i="5"/>
  <c r="BB23" i="5" s="1"/>
  <c r="AX79" i="5"/>
  <c r="AX80" i="5" s="1"/>
  <c r="CF15" i="5"/>
  <c r="CC15" i="5"/>
  <c r="CI15" i="5"/>
  <c r="CE15" i="5"/>
  <c r="CK15" i="5"/>
  <c r="CD15" i="5"/>
  <c r="BU15" i="5"/>
  <c r="BW15" i="5"/>
  <c r="BY15" i="5"/>
  <c r="BT15" i="5"/>
  <c r="BR15" i="5"/>
  <c r="BQ15" i="5"/>
  <c r="CA15" i="5"/>
  <c r="BV15" i="5"/>
  <c r="BG15" i="5"/>
  <c r="BD15" i="5"/>
  <c r="BS15" i="5"/>
  <c r="BM15" i="5"/>
  <c r="BI15" i="5"/>
  <c r="BF15" i="5"/>
  <c r="BK15" i="5"/>
  <c r="BH15" i="5"/>
  <c r="BJ15" i="5"/>
  <c r="BA15" i="5"/>
  <c r="BP15" i="5" s="1"/>
  <c r="CB15" i="5" s="1"/>
  <c r="AZ15" i="5"/>
  <c r="BE15" i="5"/>
  <c r="AY15" i="5"/>
  <c r="AV15" i="5"/>
  <c r="BO15" i="5" s="1"/>
  <c r="AU15" i="5"/>
  <c r="BB15" i="5" s="1"/>
  <c r="BD19" i="5"/>
  <c r="BL19" i="5" s="1"/>
  <c r="CF39" i="5"/>
  <c r="CC39" i="5"/>
  <c r="CI39" i="5"/>
  <c r="CE39" i="5"/>
  <c r="CK39" i="5"/>
  <c r="CD39" i="5"/>
  <c r="BU39" i="5"/>
  <c r="BW39" i="5"/>
  <c r="BY39" i="5"/>
  <c r="CA39" i="5"/>
  <c r="BR39" i="5"/>
  <c r="BQ39" i="5"/>
  <c r="BV39" i="5"/>
  <c r="BS39" i="5"/>
  <c r="BT39" i="5"/>
  <c r="BG39" i="5"/>
  <c r="BI39" i="5"/>
  <c r="BF39" i="5"/>
  <c r="BK39" i="5"/>
  <c r="BM39" i="5"/>
  <c r="BH39" i="5"/>
  <c r="BJ39" i="5"/>
  <c r="BA39" i="5"/>
  <c r="BP39" i="5" s="1"/>
  <c r="AZ39" i="5"/>
  <c r="BE39" i="5"/>
  <c r="BD39" i="5"/>
  <c r="AU39" i="5"/>
  <c r="BN39" i="5" s="1"/>
  <c r="AV39" i="5"/>
  <c r="BO39" i="5" s="1"/>
  <c r="AY39" i="5"/>
  <c r="CF25" i="5"/>
  <c r="CC25" i="5"/>
  <c r="CI25" i="5"/>
  <c r="CE25" i="5"/>
  <c r="CK25" i="5"/>
  <c r="CD25" i="5"/>
  <c r="BU25" i="5"/>
  <c r="CA25" i="5"/>
  <c r="BW25" i="5"/>
  <c r="BV25" i="5"/>
  <c r="BY25" i="5"/>
  <c r="BM25" i="5"/>
  <c r="BR25" i="5"/>
  <c r="BQ25" i="5"/>
  <c r="BT25" i="5"/>
  <c r="BE25" i="5"/>
  <c r="BJ25" i="5"/>
  <c r="BG25" i="5"/>
  <c r="BS25" i="5"/>
  <c r="BI25" i="5"/>
  <c r="BF25" i="5"/>
  <c r="BH25" i="5"/>
  <c r="AY25" i="5"/>
  <c r="BD25" i="5"/>
  <c r="BA25" i="5"/>
  <c r="BP25" i="5" s="1"/>
  <c r="BK25" i="5"/>
  <c r="AZ25" i="5"/>
  <c r="AU25" i="5"/>
  <c r="BB25" i="5" s="1"/>
  <c r="AV25" i="5"/>
  <c r="BC25" i="5" s="1"/>
  <c r="CF57" i="5"/>
  <c r="CC57" i="5"/>
  <c r="CI57" i="5"/>
  <c r="CE57" i="5"/>
  <c r="CK57" i="5"/>
  <c r="CA57" i="5"/>
  <c r="BW57" i="5"/>
  <c r="BV57" i="5"/>
  <c r="BY57" i="5"/>
  <c r="BT57" i="5"/>
  <c r="BR57" i="5"/>
  <c r="CD57" i="5"/>
  <c r="BQ57" i="5"/>
  <c r="BU57" i="5"/>
  <c r="BE57" i="5"/>
  <c r="BJ57" i="5"/>
  <c r="BG57" i="5"/>
  <c r="BI57" i="5"/>
  <c r="BF57" i="5"/>
  <c r="BS57" i="5"/>
  <c r="BM57" i="5"/>
  <c r="BH57" i="5"/>
  <c r="BK57" i="5"/>
  <c r="AY57" i="5"/>
  <c r="BD57" i="5"/>
  <c r="BA57" i="5"/>
  <c r="BP57" i="5" s="1"/>
  <c r="AZ57" i="5"/>
  <c r="AU57" i="5"/>
  <c r="BN57" i="5" s="1"/>
  <c r="AV57" i="5"/>
  <c r="BO57" i="5" s="1"/>
  <c r="BC31" i="5"/>
  <c r="CF32" i="5"/>
  <c r="CC32" i="5"/>
  <c r="CI32" i="5"/>
  <c r="CE32" i="5"/>
  <c r="CK32" i="5"/>
  <c r="CA32" i="5"/>
  <c r="BU32" i="5"/>
  <c r="BW32" i="5"/>
  <c r="CD32" i="5"/>
  <c r="BY32" i="5"/>
  <c r="BT32" i="5"/>
  <c r="BM32" i="5"/>
  <c r="BR32" i="5"/>
  <c r="BV32" i="5"/>
  <c r="BQ32" i="5"/>
  <c r="BS32" i="5"/>
  <c r="BJ32" i="5"/>
  <c r="BG32" i="5"/>
  <c r="BD32" i="5"/>
  <c r="BI32" i="5"/>
  <c r="BF32" i="5"/>
  <c r="BK32" i="5"/>
  <c r="BH32" i="5"/>
  <c r="BA32" i="5"/>
  <c r="BP32" i="5" s="1"/>
  <c r="BE32" i="5"/>
  <c r="AZ32" i="5"/>
  <c r="AY32" i="5"/>
  <c r="AV32" i="5"/>
  <c r="BC32" i="5" s="1"/>
  <c r="AU32" i="5"/>
  <c r="BN32" i="5" s="1"/>
  <c r="CF24" i="5"/>
  <c r="CC24" i="5"/>
  <c r="CI24" i="5"/>
  <c r="CE24" i="5"/>
  <c r="CK24" i="5"/>
  <c r="CD24" i="5"/>
  <c r="BU24" i="5"/>
  <c r="CA24" i="5"/>
  <c r="BW24" i="5"/>
  <c r="BY24" i="5"/>
  <c r="BT24" i="5"/>
  <c r="BS24" i="5"/>
  <c r="BM24" i="5"/>
  <c r="BV24" i="5"/>
  <c r="BR24" i="5"/>
  <c r="BQ24" i="5"/>
  <c r="BJ24" i="5"/>
  <c r="BG24" i="5"/>
  <c r="BD24" i="5"/>
  <c r="BI24" i="5"/>
  <c r="BF24" i="5"/>
  <c r="BK24" i="5"/>
  <c r="BH24" i="5"/>
  <c r="BE24" i="5"/>
  <c r="BA24" i="5"/>
  <c r="BP24" i="5" s="1"/>
  <c r="AZ24" i="5"/>
  <c r="AY24" i="5"/>
  <c r="AV24" i="5"/>
  <c r="BO24" i="5" s="1"/>
  <c r="AU24" i="5"/>
  <c r="BB24" i="5" s="1"/>
  <c r="CI45" i="5"/>
  <c r="CE45" i="5"/>
  <c r="CK45" i="5"/>
  <c r="CF45" i="5"/>
  <c r="BW45" i="5"/>
  <c r="CD45" i="5"/>
  <c r="BY45" i="5"/>
  <c r="BT45" i="5"/>
  <c r="CA45" i="5"/>
  <c r="BV45" i="5"/>
  <c r="CC45" i="5"/>
  <c r="BQ45" i="5"/>
  <c r="BU45" i="5"/>
  <c r="BS45" i="5"/>
  <c r="BR45" i="5"/>
  <c r="BI45" i="5"/>
  <c r="BF45" i="5"/>
  <c r="BK45" i="5"/>
  <c r="BM45" i="5"/>
  <c r="BH45" i="5"/>
  <c r="BE45" i="5"/>
  <c r="BJ45" i="5"/>
  <c r="AZ45" i="5"/>
  <c r="BG45" i="5"/>
  <c r="AY45" i="5"/>
  <c r="BD45" i="5"/>
  <c r="BA45" i="5"/>
  <c r="BP45" i="5" s="1"/>
  <c r="AU45" i="5"/>
  <c r="BB45" i="5" s="1"/>
  <c r="AV45" i="5"/>
  <c r="BC45" i="5" s="1"/>
  <c r="BC75" i="5"/>
  <c r="BP67" i="5"/>
  <c r="CB67" i="5" s="1"/>
  <c r="CF48" i="5"/>
  <c r="CC48" i="5"/>
  <c r="CI48" i="5"/>
  <c r="CK48" i="5"/>
  <c r="BU48" i="5"/>
  <c r="CD48" i="5"/>
  <c r="BW48" i="5"/>
  <c r="CA48" i="5"/>
  <c r="BY48" i="5"/>
  <c r="BT48" i="5"/>
  <c r="BR48" i="5"/>
  <c r="CE48" i="5"/>
  <c r="BQ48" i="5"/>
  <c r="BS48" i="5"/>
  <c r="BJ48" i="5"/>
  <c r="BG48" i="5"/>
  <c r="BI48" i="5"/>
  <c r="BF48" i="5"/>
  <c r="BK48" i="5"/>
  <c r="BV48" i="5"/>
  <c r="BD48" i="5"/>
  <c r="BA48" i="5"/>
  <c r="BP48" i="5" s="1"/>
  <c r="BH48" i="5"/>
  <c r="BM48" i="5"/>
  <c r="AZ48" i="5"/>
  <c r="BE48" i="5"/>
  <c r="AY48" i="5"/>
  <c r="AV48" i="5"/>
  <c r="BC48" i="5" s="1"/>
  <c r="AU48" i="5"/>
  <c r="BB48" i="5" s="1"/>
  <c r="BX13" i="5"/>
  <c r="BC22" i="5"/>
  <c r="BX40" i="5"/>
  <c r="CD42" i="5"/>
  <c r="CA42" i="5"/>
  <c r="CF42" i="5"/>
  <c r="CI42" i="5"/>
  <c r="CE42" i="5"/>
  <c r="BV42" i="5"/>
  <c r="CK42" i="5"/>
  <c r="BU42" i="5"/>
  <c r="CC42" i="5"/>
  <c r="BT42" i="5"/>
  <c r="BS42" i="5"/>
  <c r="BW42" i="5"/>
  <c r="BR42" i="5"/>
  <c r="BY42" i="5"/>
  <c r="BQ42" i="5"/>
  <c r="BM42" i="5"/>
  <c r="BH42" i="5"/>
  <c r="BE42" i="5"/>
  <c r="BJ42" i="5"/>
  <c r="BG42" i="5"/>
  <c r="BI42" i="5"/>
  <c r="BK42" i="5"/>
  <c r="AY42" i="5"/>
  <c r="BD42" i="5"/>
  <c r="BA42" i="5"/>
  <c r="BP42" i="5" s="1"/>
  <c r="BF42" i="5"/>
  <c r="AV42" i="5"/>
  <c r="BO42" i="5" s="1"/>
  <c r="AZ42" i="5"/>
  <c r="AU42" i="5"/>
  <c r="BB42" i="5" s="1"/>
  <c r="CD34" i="5"/>
  <c r="CA34" i="5"/>
  <c r="CF34" i="5"/>
  <c r="CI34" i="5"/>
  <c r="CE34" i="5"/>
  <c r="BV34" i="5"/>
  <c r="CK34" i="5"/>
  <c r="CC34" i="5"/>
  <c r="BU34" i="5"/>
  <c r="BW34" i="5"/>
  <c r="BS34" i="5"/>
  <c r="BM34" i="5"/>
  <c r="BY34" i="5"/>
  <c r="BT34" i="5"/>
  <c r="BR34" i="5"/>
  <c r="BQ34" i="5"/>
  <c r="BH34" i="5"/>
  <c r="BE34" i="5"/>
  <c r="BJ34" i="5"/>
  <c r="BG34" i="5"/>
  <c r="BI34" i="5"/>
  <c r="BK34" i="5"/>
  <c r="AY34" i="5"/>
  <c r="BD34" i="5"/>
  <c r="BA34" i="5"/>
  <c r="BP34" i="5" s="1"/>
  <c r="BF34" i="5"/>
  <c r="AZ34" i="5"/>
  <c r="AU34" i="5"/>
  <c r="BB34" i="5" s="1"/>
  <c r="AV34" i="5"/>
  <c r="BC34" i="5" s="1"/>
  <c r="CD26" i="5"/>
  <c r="CA26" i="5"/>
  <c r="CF26" i="5"/>
  <c r="CI26" i="5"/>
  <c r="CE26" i="5"/>
  <c r="CK26" i="5"/>
  <c r="BV26" i="5"/>
  <c r="BU26" i="5"/>
  <c r="BS26" i="5"/>
  <c r="BY26" i="5"/>
  <c r="BM26" i="5"/>
  <c r="BR26" i="5"/>
  <c r="BW26" i="5"/>
  <c r="BQ26" i="5"/>
  <c r="BH26" i="5"/>
  <c r="BE26" i="5"/>
  <c r="BJ26" i="5"/>
  <c r="CC26" i="5"/>
  <c r="BG26" i="5"/>
  <c r="BT26" i="5"/>
  <c r="BI26" i="5"/>
  <c r="BK26" i="5"/>
  <c r="AY26" i="5"/>
  <c r="BF26" i="5"/>
  <c r="BD26" i="5"/>
  <c r="BA26" i="5"/>
  <c r="BP26" i="5" s="1"/>
  <c r="AZ26" i="5"/>
  <c r="AU26" i="5"/>
  <c r="BN26" i="5" s="1"/>
  <c r="AV26" i="5"/>
  <c r="BO26" i="5" s="1"/>
  <c r="CF63" i="5"/>
  <c r="CC63" i="5"/>
  <c r="CI63" i="5"/>
  <c r="CE63" i="5"/>
  <c r="CK63" i="5"/>
  <c r="CD63" i="5"/>
  <c r="BU63" i="5"/>
  <c r="BW63" i="5"/>
  <c r="BY63" i="5"/>
  <c r="CA63" i="5"/>
  <c r="BR63" i="5"/>
  <c r="BV63" i="5"/>
  <c r="BQ63" i="5"/>
  <c r="BS63" i="5"/>
  <c r="BG63" i="5"/>
  <c r="BI63" i="5"/>
  <c r="BF63" i="5"/>
  <c r="BK63" i="5"/>
  <c r="BM63" i="5"/>
  <c r="BH63" i="5"/>
  <c r="BT63" i="5"/>
  <c r="BJ63" i="5"/>
  <c r="BA63" i="5"/>
  <c r="BP63" i="5" s="1"/>
  <c r="BE63" i="5"/>
  <c r="AZ63" i="5"/>
  <c r="BD63" i="5"/>
  <c r="AY63" i="5"/>
  <c r="AV63" i="5"/>
  <c r="BC63" i="5" s="1"/>
  <c r="AU63" i="5"/>
  <c r="BB63" i="5" s="1"/>
  <c r="BC11" i="5"/>
  <c r="CJ58" i="5"/>
  <c r="CD58" i="5"/>
  <c r="CA58" i="5"/>
  <c r="CF58" i="5"/>
  <c r="CG58" i="5"/>
  <c r="CI58" i="5"/>
  <c r="CE58" i="5"/>
  <c r="BV58" i="5"/>
  <c r="CH58" i="5"/>
  <c r="CC58" i="5"/>
  <c r="BZ58" i="5"/>
  <c r="BU58" i="5"/>
  <c r="CK58" i="5"/>
  <c r="BX58" i="5"/>
  <c r="BS58" i="5"/>
  <c r="BY58" i="5"/>
  <c r="BT58" i="5"/>
  <c r="BR58" i="5"/>
  <c r="BW58" i="5"/>
  <c r="BQ58" i="5"/>
  <c r="BM58" i="5"/>
  <c r="BH58" i="5"/>
  <c r="BL58" i="5"/>
  <c r="BE58" i="5"/>
  <c r="BJ58" i="5"/>
  <c r="BG58" i="5"/>
  <c r="BI58" i="5"/>
  <c r="BK58" i="5"/>
  <c r="AY58" i="5"/>
  <c r="BD58" i="5"/>
  <c r="BA58" i="5"/>
  <c r="BP58" i="5" s="1"/>
  <c r="BF58" i="5"/>
  <c r="AU58" i="5"/>
  <c r="BB58" i="5" s="1"/>
  <c r="AV58" i="5"/>
  <c r="BO58" i="5" s="1"/>
  <c r="AZ58" i="5"/>
  <c r="CF33" i="5"/>
  <c r="CC33" i="5"/>
  <c r="CI33" i="5"/>
  <c r="CE33" i="5"/>
  <c r="CK33" i="5"/>
  <c r="CA33" i="5"/>
  <c r="BU33" i="5"/>
  <c r="BW33" i="5"/>
  <c r="BV33" i="5"/>
  <c r="CD33" i="5"/>
  <c r="BM33" i="5"/>
  <c r="BY33" i="5"/>
  <c r="BT33" i="5"/>
  <c r="BR33" i="5"/>
  <c r="BQ33" i="5"/>
  <c r="BE33" i="5"/>
  <c r="BJ33" i="5"/>
  <c r="BG33" i="5"/>
  <c r="BS33" i="5"/>
  <c r="BI33" i="5"/>
  <c r="BF33" i="5"/>
  <c r="BH33" i="5"/>
  <c r="AY33" i="5"/>
  <c r="BD33" i="5"/>
  <c r="BA33" i="5"/>
  <c r="BP33" i="5" s="1"/>
  <c r="BK33" i="5"/>
  <c r="AZ33" i="5"/>
  <c r="AV33" i="5"/>
  <c r="BC33" i="5" s="1"/>
  <c r="AU33" i="5"/>
  <c r="BN33" i="5" s="1"/>
  <c r="CF65" i="5"/>
  <c r="CC65" i="5"/>
  <c r="CI65" i="5"/>
  <c r="CE65" i="5"/>
  <c r="CK65" i="5"/>
  <c r="CD65" i="5"/>
  <c r="CA65" i="5"/>
  <c r="BW65" i="5"/>
  <c r="BV65" i="5"/>
  <c r="BU65" i="5"/>
  <c r="BT65" i="5"/>
  <c r="BY65" i="5"/>
  <c r="BR65" i="5"/>
  <c r="BQ65" i="5"/>
  <c r="BS65" i="5"/>
  <c r="BE65" i="5"/>
  <c r="BJ65" i="5"/>
  <c r="BG65" i="5"/>
  <c r="BI65" i="5"/>
  <c r="BF65" i="5"/>
  <c r="BM65" i="5"/>
  <c r="BH65" i="5"/>
  <c r="AY65" i="5"/>
  <c r="BK65" i="5"/>
  <c r="BD65" i="5"/>
  <c r="BA65" i="5"/>
  <c r="BP65" i="5" s="1"/>
  <c r="AZ65" i="5"/>
  <c r="AV65" i="5"/>
  <c r="BO65" i="5" s="1"/>
  <c r="AU65" i="5"/>
  <c r="BN65" i="5" s="1"/>
  <c r="CI60" i="5"/>
  <c r="CK60" i="5"/>
  <c r="CD60" i="5"/>
  <c r="CF60" i="5"/>
  <c r="CC60" i="5"/>
  <c r="BY60" i="5"/>
  <c r="BV60" i="5"/>
  <c r="CE60" i="5"/>
  <c r="BW60" i="5"/>
  <c r="BQ60" i="5"/>
  <c r="BS60" i="5"/>
  <c r="CA60" i="5"/>
  <c r="BT60" i="5"/>
  <c r="BR60" i="5"/>
  <c r="BF60" i="5"/>
  <c r="BK60" i="5"/>
  <c r="BU60" i="5"/>
  <c r="BM60" i="5"/>
  <c r="BH60" i="5"/>
  <c r="BE60" i="5"/>
  <c r="BJ60" i="5"/>
  <c r="BG60" i="5"/>
  <c r="BI60" i="5"/>
  <c r="AZ60" i="5"/>
  <c r="AY60" i="5"/>
  <c r="AV60" i="5"/>
  <c r="BO60" i="5" s="1"/>
  <c r="BD60" i="5"/>
  <c r="BA60" i="5"/>
  <c r="BP60" i="5" s="1"/>
  <c r="AU60" i="5"/>
  <c r="BN60" i="5" s="1"/>
  <c r="CI52" i="5"/>
  <c r="CK52" i="5"/>
  <c r="CG52" i="5"/>
  <c r="CD52" i="5"/>
  <c r="CH52" i="5"/>
  <c r="CF52" i="5"/>
  <c r="CJ52" i="5"/>
  <c r="CC52" i="5"/>
  <c r="CE52" i="5"/>
  <c r="BY52" i="5"/>
  <c r="BV52" i="5"/>
  <c r="CA52" i="5"/>
  <c r="BW52" i="5"/>
  <c r="BQ52" i="5"/>
  <c r="BS52" i="5"/>
  <c r="BZ52" i="5"/>
  <c r="BU52" i="5"/>
  <c r="BR52" i="5"/>
  <c r="BX52" i="5"/>
  <c r="BT52" i="5"/>
  <c r="BF52" i="5"/>
  <c r="BK52" i="5"/>
  <c r="BM52" i="5"/>
  <c r="BH52" i="5"/>
  <c r="BE52" i="5"/>
  <c r="BJ52" i="5"/>
  <c r="BG52" i="5"/>
  <c r="BL52" i="5"/>
  <c r="BI52" i="5"/>
  <c r="AZ52" i="5"/>
  <c r="AY52" i="5"/>
  <c r="AV52" i="5"/>
  <c r="BC52" i="5" s="1"/>
  <c r="BD52" i="5"/>
  <c r="BA52" i="5"/>
  <c r="BP52" i="5" s="1"/>
  <c r="AU52" i="5"/>
  <c r="BN52" i="5" s="1"/>
  <c r="CF72" i="5"/>
  <c r="CC72" i="5"/>
  <c r="CI72" i="5"/>
  <c r="CK72" i="5"/>
  <c r="BU72" i="5"/>
  <c r="CD72" i="5"/>
  <c r="BW72" i="5"/>
  <c r="BY72" i="5"/>
  <c r="CE72" i="5"/>
  <c r="BR72" i="5"/>
  <c r="BQ72" i="5"/>
  <c r="BV72" i="5"/>
  <c r="BS72" i="5"/>
  <c r="BT72" i="5"/>
  <c r="BJ72" i="5"/>
  <c r="BG72" i="5"/>
  <c r="BI72" i="5"/>
  <c r="BF72" i="5"/>
  <c r="BK72" i="5"/>
  <c r="BD72" i="5"/>
  <c r="CA72" i="5"/>
  <c r="BA72" i="5"/>
  <c r="BP72" i="5" s="1"/>
  <c r="AZ72" i="5"/>
  <c r="BM72" i="5"/>
  <c r="AY72" i="5"/>
  <c r="AV72" i="5"/>
  <c r="BO72" i="5" s="1"/>
  <c r="BE72" i="5"/>
  <c r="AU72" i="5"/>
  <c r="BB72" i="5" s="1"/>
  <c r="BH72" i="5"/>
  <c r="BL51" i="5"/>
  <c r="BD43" i="5"/>
  <c r="C12" i="7"/>
  <c r="C13" i="7"/>
  <c r="C14" i="7"/>
  <c r="G63" i="12" l="1"/>
  <c r="I63" i="12" s="1"/>
  <c r="G63" i="13"/>
  <c r="I63" i="13" s="1"/>
  <c r="CB30" i="5"/>
  <c r="BO36" i="5"/>
  <c r="BL59" i="5"/>
  <c r="BL38" i="5"/>
  <c r="BB54" i="5"/>
  <c r="BZ54" i="5" s="1"/>
  <c r="CB7" i="5"/>
  <c r="AC38" i="13"/>
  <c r="J38" i="13"/>
  <c r="BX22" i="5"/>
  <c r="BL22" i="5"/>
  <c r="BB68" i="5"/>
  <c r="BZ68" i="5" s="1"/>
  <c r="CB46" i="5"/>
  <c r="BX7" i="5"/>
  <c r="BL4" i="5"/>
  <c r="BX68" i="5"/>
  <c r="AC44" i="13"/>
  <c r="L18" i="10"/>
  <c r="BX46" i="5"/>
  <c r="BO44" i="5"/>
  <c r="BO54" i="5"/>
  <c r="BL46" i="5"/>
  <c r="BC62" i="5"/>
  <c r="CB43" i="5"/>
  <c r="BN59" i="5"/>
  <c r="BZ59" i="5" s="1"/>
  <c r="CB59" i="5"/>
  <c r="BC70" i="5"/>
  <c r="CB38" i="5"/>
  <c r="BX35" i="5"/>
  <c r="BL7" i="5"/>
  <c r="BL35" i="5"/>
  <c r="BL68" i="5"/>
  <c r="BX54" i="5"/>
  <c r="BX4" i="5"/>
  <c r="BL14" i="5"/>
  <c r="BL27" i="5"/>
  <c r="BL30" i="5"/>
  <c r="BX30" i="5"/>
  <c r="CB51" i="5"/>
  <c r="BX8" i="5"/>
  <c r="BL54" i="5"/>
  <c r="BL8" i="5"/>
  <c r="BL44" i="5"/>
  <c r="BN35" i="5"/>
  <c r="BZ35" i="5" s="1"/>
  <c r="BX38" i="5"/>
  <c r="BX62" i="5"/>
  <c r="CB68" i="5"/>
  <c r="BL62" i="5"/>
  <c r="BX27" i="5"/>
  <c r="BL16" i="5"/>
  <c r="CB35" i="5"/>
  <c r="CB16" i="5"/>
  <c r="BC7" i="5"/>
  <c r="BX44" i="5"/>
  <c r="BX59" i="5"/>
  <c r="CB44" i="5"/>
  <c r="BX36" i="5"/>
  <c r="BX16" i="5"/>
  <c r="CB3" i="5"/>
  <c r="CB10" i="5"/>
  <c r="BB30" i="5"/>
  <c r="BZ30" i="5" s="1"/>
  <c r="BC68" i="5"/>
  <c r="BC8" i="5"/>
  <c r="AV90" i="5"/>
  <c r="AY90" i="5"/>
  <c r="H18" i="10"/>
  <c r="F20" i="10" s="1"/>
  <c r="F21" i="10" s="1"/>
  <c r="AB39" i="13"/>
  <c r="AB45" i="13" s="1"/>
  <c r="I41" i="13"/>
  <c r="AA39" i="13"/>
  <c r="J39" i="13"/>
  <c r="G41" i="13"/>
  <c r="F44" i="13"/>
  <c r="J13" i="13"/>
  <c r="N40" i="13"/>
  <c r="L41" i="13"/>
  <c r="N41" i="13" s="1"/>
  <c r="CB17" i="5"/>
  <c r="CB56" i="5"/>
  <c r="F45" i="13"/>
  <c r="F75" i="13"/>
  <c r="F80" i="13" s="1"/>
  <c r="H5" i="10"/>
  <c r="J11" i="12"/>
  <c r="AB11" i="12"/>
  <c r="AB45" i="12" s="1"/>
  <c r="G39" i="12"/>
  <c r="AA11" i="12"/>
  <c r="BB7" i="5"/>
  <c r="BZ7" i="5" s="1"/>
  <c r="F10" i="12"/>
  <c r="D4" i="10"/>
  <c r="F12" i="12"/>
  <c r="F40" i="12" s="1"/>
  <c r="D6" i="10"/>
  <c r="BC16" i="5"/>
  <c r="F75" i="12"/>
  <c r="F80" i="12" s="1"/>
  <c r="CB20" i="5"/>
  <c r="CB49" i="5"/>
  <c r="CB76" i="5"/>
  <c r="CB26" i="5"/>
  <c r="CB32" i="5"/>
  <c r="BO49" i="5"/>
  <c r="CB28" i="5"/>
  <c r="BC10" i="5"/>
  <c r="BC60" i="5"/>
  <c r="BO34" i="5"/>
  <c r="CB60" i="5"/>
  <c r="BC66" i="5"/>
  <c r="CB23" i="5"/>
  <c r="CB47" i="5"/>
  <c r="CB29" i="5"/>
  <c r="CB71" i="5"/>
  <c r="CB57" i="5"/>
  <c r="BC71" i="5"/>
  <c r="BO9" i="5"/>
  <c r="BB14" i="5"/>
  <c r="BN14" i="5"/>
  <c r="BB64" i="5"/>
  <c r="CB64" i="5"/>
  <c r="BB39" i="5"/>
  <c r="BZ39" i="5" s="1"/>
  <c r="BN50" i="5"/>
  <c r="BZ50" i="5" s="1"/>
  <c r="CB21" i="5"/>
  <c r="BC18" i="5"/>
  <c r="BC73" i="5"/>
  <c r="BL72" i="5"/>
  <c r="BN15" i="5"/>
  <c r="BZ15" i="5" s="1"/>
  <c r="BO64" i="5"/>
  <c r="CB18" i="5"/>
  <c r="BC61" i="5"/>
  <c r="BN63" i="5"/>
  <c r="BZ63" i="5" s="1"/>
  <c r="BB26" i="5"/>
  <c r="BZ26" i="5" s="1"/>
  <c r="BB57" i="5"/>
  <c r="BZ57" i="5" s="1"/>
  <c r="BB29" i="5"/>
  <c r="BZ29" i="5" s="1"/>
  <c r="CB61" i="5"/>
  <c r="CB72" i="5"/>
  <c r="CB39" i="5"/>
  <c r="BN17" i="5"/>
  <c r="BZ17" i="5" s="1"/>
  <c r="CB74" i="5"/>
  <c r="BB76" i="5"/>
  <c r="BN25" i="5"/>
  <c r="BZ25" i="5" s="1"/>
  <c r="BC14" i="5"/>
  <c r="BO14" i="5"/>
  <c r="BB71" i="5"/>
  <c r="BZ71" i="5" s="1"/>
  <c r="BO69" i="5"/>
  <c r="BN42" i="5"/>
  <c r="BZ42" i="5" s="1"/>
  <c r="CB25" i="5"/>
  <c r="CB73" i="5"/>
  <c r="CB69" i="5"/>
  <c r="BB65" i="5"/>
  <c r="BZ65" i="5" s="1"/>
  <c r="BO48" i="5"/>
  <c r="BC39" i="5"/>
  <c r="BN21" i="5"/>
  <c r="BZ21" i="5" s="1"/>
  <c r="BB46" i="5"/>
  <c r="BN46" i="5"/>
  <c r="BO33" i="5"/>
  <c r="BL26" i="5"/>
  <c r="BO52" i="5"/>
  <c r="BN34" i="5"/>
  <c r="BZ34" i="5" s="1"/>
  <c r="CB45" i="5"/>
  <c r="BL15" i="5"/>
  <c r="CB66" i="5"/>
  <c r="BB56" i="5"/>
  <c r="BZ56" i="5" s="1"/>
  <c r="BN28" i="5"/>
  <c r="BZ28" i="5" s="1"/>
  <c r="BO46" i="5"/>
  <c r="BC46" i="5"/>
  <c r="BB33" i="5"/>
  <c r="BZ33" i="5" s="1"/>
  <c r="BO63" i="5"/>
  <c r="BN41" i="5"/>
  <c r="BZ41" i="5" s="1"/>
  <c r="BC53" i="5"/>
  <c r="BC65" i="5"/>
  <c r="BN72" i="5"/>
  <c r="BZ72" i="5" s="1"/>
  <c r="CB52" i="5"/>
  <c r="CB65" i="5"/>
  <c r="CB33" i="5"/>
  <c r="BN58" i="5"/>
  <c r="CB34" i="5"/>
  <c r="BC24" i="5"/>
  <c r="BC15" i="5"/>
  <c r="CB50" i="5"/>
  <c r="BN12" i="5"/>
  <c r="BZ12" i="5" s="1"/>
  <c r="BB5" i="5"/>
  <c r="BZ5" i="5" s="1"/>
  <c r="BC29" i="5"/>
  <c r="CB37" i="5"/>
  <c r="CB53" i="5"/>
  <c r="CB58" i="5"/>
  <c r="CB24" i="5"/>
  <c r="BB73" i="5"/>
  <c r="BB9" i="5"/>
  <c r="BZ9" i="5" s="1"/>
  <c r="BB69" i="5"/>
  <c r="BZ69" i="5" s="1"/>
  <c r="CB63" i="5"/>
  <c r="CB48" i="5"/>
  <c r="BL21" i="5"/>
  <c r="BC41" i="5"/>
  <c r="BX11" i="5"/>
  <c r="BE79" i="5"/>
  <c r="BE80" i="5" s="1"/>
  <c r="CB2" i="5"/>
  <c r="BP79" i="5"/>
  <c r="BP80" i="5" s="1"/>
  <c r="CA79" i="5"/>
  <c r="CA80" i="5" s="1"/>
  <c r="CE79" i="5"/>
  <c r="CE80" i="5" s="1"/>
  <c r="BC72" i="5"/>
  <c r="BL63" i="5"/>
  <c r="BC26" i="5"/>
  <c r="BL32" i="5"/>
  <c r="BX32" i="5"/>
  <c r="BO25" i="5"/>
  <c r="BX25" i="5"/>
  <c r="BN23" i="5"/>
  <c r="BZ23" i="5" s="1"/>
  <c r="BB66" i="5"/>
  <c r="BZ66" i="5" s="1"/>
  <c r="BB49" i="5"/>
  <c r="BO17" i="5"/>
  <c r="BB74" i="5"/>
  <c r="BZ74" i="5" s="1"/>
  <c r="BC5" i="5"/>
  <c r="BX5" i="5"/>
  <c r="BX9" i="5"/>
  <c r="BB55" i="5"/>
  <c r="BL28" i="5"/>
  <c r="BO28" i="5"/>
  <c r="BN61" i="5"/>
  <c r="AY79" i="5"/>
  <c r="AY80" i="5" s="1"/>
  <c r="BH79" i="5"/>
  <c r="BH80" i="5" s="1"/>
  <c r="CD79" i="5"/>
  <c r="CD80" i="5" s="1"/>
  <c r="BY79" i="5"/>
  <c r="BY80" i="5" s="1"/>
  <c r="CI79" i="5"/>
  <c r="CI80" i="5" s="1"/>
  <c r="CB19" i="5"/>
  <c r="BX65" i="5"/>
  <c r="BD79" i="5"/>
  <c r="BD80" i="5" s="1"/>
  <c r="BX34" i="5"/>
  <c r="CB42" i="5"/>
  <c r="BN48" i="5"/>
  <c r="BZ48" i="5" s="1"/>
  <c r="BO45" i="5"/>
  <c r="BN45" i="5"/>
  <c r="BZ45" i="5" s="1"/>
  <c r="BO32" i="5"/>
  <c r="BL57" i="5"/>
  <c r="BX23" i="5"/>
  <c r="BB47" i="5"/>
  <c r="BZ47" i="5" s="1"/>
  <c r="BO12" i="5"/>
  <c r="BX12" i="5"/>
  <c r="BO56" i="5"/>
  <c r="BX56" i="5"/>
  <c r="BN18" i="5"/>
  <c r="BZ18" i="5" s="1"/>
  <c r="CB41" i="5"/>
  <c r="BM79" i="5"/>
  <c r="BM80" i="5" s="1"/>
  <c r="BS79" i="5"/>
  <c r="BS80" i="5" s="1"/>
  <c r="CC79" i="5"/>
  <c r="CC80" i="5" s="1"/>
  <c r="BX53" i="5"/>
  <c r="BB52" i="5"/>
  <c r="BB60" i="5"/>
  <c r="BZ60" i="5" s="1"/>
  <c r="BX60" i="5"/>
  <c r="BC58" i="5"/>
  <c r="BX45" i="5"/>
  <c r="BO23" i="5"/>
  <c r="BL47" i="5"/>
  <c r="BO47" i="5"/>
  <c r="BX17" i="5"/>
  <c r="BL12" i="5"/>
  <c r="BL56" i="5"/>
  <c r="BL74" i="5"/>
  <c r="BX74" i="5"/>
  <c r="BL5" i="5"/>
  <c r="BL41" i="5"/>
  <c r="BX41" i="5"/>
  <c r="BL9" i="5"/>
  <c r="BC55" i="5"/>
  <c r="BB37" i="5"/>
  <c r="BZ37" i="5" s="1"/>
  <c r="BO37" i="5"/>
  <c r="BB53" i="5"/>
  <c r="BZ53" i="5" s="1"/>
  <c r="AZ79" i="5"/>
  <c r="AZ80" i="5" s="1"/>
  <c r="BK79" i="5"/>
  <c r="BK80" i="5" s="1"/>
  <c r="BT79" i="5"/>
  <c r="BT80" i="5" s="1"/>
  <c r="BW79" i="5"/>
  <c r="BW80" i="5" s="1"/>
  <c r="BX20" i="5"/>
  <c r="BX26" i="5"/>
  <c r="BX47" i="5"/>
  <c r="BL33" i="5"/>
  <c r="BL34" i="5"/>
  <c r="BN24" i="5"/>
  <c r="BZ24" i="5" s="1"/>
  <c r="BX48" i="5"/>
  <c r="BL25" i="5"/>
  <c r="BX39" i="5"/>
  <c r="BX21" i="5"/>
  <c r="BL17" i="5"/>
  <c r="BC74" i="5"/>
  <c r="BL43" i="5"/>
  <c r="BX71" i="5"/>
  <c r="CB9" i="5"/>
  <c r="BL29" i="5"/>
  <c r="BB10" i="5"/>
  <c r="BL69" i="5"/>
  <c r="BF79" i="5"/>
  <c r="BF80" i="5" s="1"/>
  <c r="CF79" i="5"/>
  <c r="CF80" i="5" s="1"/>
  <c r="BC76" i="5"/>
  <c r="BB20" i="5"/>
  <c r="BZ20" i="5" s="1"/>
  <c r="BL60" i="5"/>
  <c r="BX63" i="5"/>
  <c r="BL48" i="5"/>
  <c r="BX57" i="5"/>
  <c r="BX15" i="5"/>
  <c r="BL23" i="5"/>
  <c r="BL50" i="5"/>
  <c r="BX50" i="5"/>
  <c r="BL66" i="5"/>
  <c r="BX66" i="5"/>
  <c r="BX29" i="5"/>
  <c r="BX37" i="5"/>
  <c r="BX28" i="5"/>
  <c r="AU79" i="5"/>
  <c r="AU80" i="5" s="1"/>
  <c r="BG79" i="5"/>
  <c r="BG80" i="5" s="1"/>
  <c r="BI79" i="5"/>
  <c r="BI80" i="5" s="1"/>
  <c r="BN2" i="5"/>
  <c r="BO20" i="5"/>
  <c r="BL42" i="5"/>
  <c r="BL45" i="5"/>
  <c r="BX24" i="5"/>
  <c r="BC21" i="5"/>
  <c r="CB12" i="5"/>
  <c r="BL18" i="5"/>
  <c r="BX18" i="5"/>
  <c r="CB5" i="5"/>
  <c r="BL10" i="5"/>
  <c r="AV79" i="5"/>
  <c r="AV80" i="5" s="1"/>
  <c r="BO2" i="5"/>
  <c r="BR79" i="5"/>
  <c r="BR80" i="5" s="1"/>
  <c r="BQ79" i="5"/>
  <c r="BQ80" i="5" s="1"/>
  <c r="BL20" i="5"/>
  <c r="BX72" i="5"/>
  <c r="BX42" i="5"/>
  <c r="BL65" i="5"/>
  <c r="BX33" i="5"/>
  <c r="BX75" i="5"/>
  <c r="BC42" i="5"/>
  <c r="BL24" i="5"/>
  <c r="BB32" i="5"/>
  <c r="BZ32" i="5" s="1"/>
  <c r="BC57" i="5"/>
  <c r="BL39" i="5"/>
  <c r="BC50" i="5"/>
  <c r="BL71" i="5"/>
  <c r="CB55" i="5"/>
  <c r="BL37" i="5"/>
  <c r="BX10" i="5"/>
  <c r="BL53" i="5"/>
  <c r="BX69" i="5"/>
  <c r="BA79" i="5"/>
  <c r="BA80" i="5" s="1"/>
  <c r="BL2" i="5"/>
  <c r="BJ79" i="5"/>
  <c r="BJ80" i="5" s="1"/>
  <c r="BX2" i="5"/>
  <c r="BU79" i="5"/>
  <c r="BU80" i="5" s="1"/>
  <c r="BV79" i="5"/>
  <c r="BV80" i="5" s="1"/>
  <c r="CK79" i="5"/>
  <c r="CK80" i="5" s="1"/>
  <c r="D14" i="7"/>
  <c r="J41" i="13" l="1"/>
  <c r="H51" i="13" s="1"/>
  <c r="H43" i="13" s="1"/>
  <c r="G51" i="13"/>
  <c r="G43" i="13" s="1"/>
  <c r="J43" i="13" s="1"/>
  <c r="AY91" i="5"/>
  <c r="BA90" i="5"/>
  <c r="M8" i="11" s="1"/>
  <c r="AX90" i="5"/>
  <c r="J8" i="11" s="1"/>
  <c r="AV91" i="5"/>
  <c r="AZ90" i="5"/>
  <c r="AW90" i="5"/>
  <c r="H52" i="13"/>
  <c r="H56" i="13" s="1"/>
  <c r="H60" i="13" s="1"/>
  <c r="AA45" i="13"/>
  <c r="AC45" i="13" s="1"/>
  <c r="AC39" i="13"/>
  <c r="H15" i="13"/>
  <c r="H16" i="13" s="1"/>
  <c r="G15" i="13"/>
  <c r="E20" i="10"/>
  <c r="G52" i="13"/>
  <c r="G56" i="13" s="1"/>
  <c r="G60" i="13" s="1"/>
  <c r="G44" i="13" s="1"/>
  <c r="J44" i="13" s="1"/>
  <c r="D7" i="10"/>
  <c r="D10" i="10" s="1"/>
  <c r="K10" i="12"/>
  <c r="I4" i="10"/>
  <c r="J6" i="10"/>
  <c r="L12" i="12"/>
  <c r="M12" i="12"/>
  <c r="M40" i="12" s="1"/>
  <c r="K6" i="10"/>
  <c r="F13" i="12"/>
  <c r="F16" i="12" s="1"/>
  <c r="F38" i="12"/>
  <c r="F41" i="12" s="1"/>
  <c r="G10" i="12"/>
  <c r="E4" i="10"/>
  <c r="I12" i="12"/>
  <c r="I40" i="12" s="1"/>
  <c r="G6" i="10"/>
  <c r="J39" i="12"/>
  <c r="AA39" i="12"/>
  <c r="G12" i="12"/>
  <c r="E6" i="10"/>
  <c r="BZ14" i="5"/>
  <c r="BZ46" i="5"/>
  <c r="BC79" i="5"/>
  <c r="BC80" i="5" s="1"/>
  <c r="BB79" i="5"/>
  <c r="BB80" i="5" s="1"/>
  <c r="BZ10" i="5"/>
  <c r="BL79" i="5"/>
  <c r="BL80" i="5" s="1"/>
  <c r="BN79" i="5"/>
  <c r="BN80" i="5" s="1"/>
  <c r="BZ2" i="5"/>
  <c r="CB79" i="5"/>
  <c r="CB80" i="5" s="1"/>
  <c r="BX79" i="5"/>
  <c r="BX80" i="5" s="1"/>
  <c r="BO79" i="5"/>
  <c r="BO80" i="5" s="1"/>
  <c r="AB10" i="9"/>
  <c r="J51" i="13" l="1"/>
  <c r="J52" i="13" s="1"/>
  <c r="J56" i="13" s="1"/>
  <c r="J60" i="13" s="1"/>
  <c r="J67" i="13" s="1"/>
  <c r="I69" i="13" s="1"/>
  <c r="J69" i="13" s="1"/>
  <c r="I51" i="13"/>
  <c r="BZ79" i="5"/>
  <c r="BZ80" i="5" s="1"/>
  <c r="L10" i="12" s="1"/>
  <c r="AZ91" i="5"/>
  <c r="BA91" i="5"/>
  <c r="G67" i="13"/>
  <c r="G45" i="13" s="1"/>
  <c r="J45" i="13" s="1"/>
  <c r="K46" i="13" s="1"/>
  <c r="AW91" i="5"/>
  <c r="AX91" i="5"/>
  <c r="G20" i="10"/>
  <c r="G21" i="10" s="1"/>
  <c r="H20" i="10"/>
  <c r="H21" i="10" s="1"/>
  <c r="E21" i="10"/>
  <c r="J15" i="13"/>
  <c r="J16" i="13" s="1"/>
  <c r="I15" i="13"/>
  <c r="I16" i="13" s="1"/>
  <c r="G16" i="13"/>
  <c r="K43" i="13"/>
  <c r="H44" i="13"/>
  <c r="H67" i="13"/>
  <c r="F43" i="12"/>
  <c r="F44" i="12"/>
  <c r="F45" i="12"/>
  <c r="F4" i="10"/>
  <c r="H10" i="12"/>
  <c r="G40" i="12"/>
  <c r="F6" i="10"/>
  <c r="H6" i="10" s="1"/>
  <c r="H12" i="12"/>
  <c r="H40" i="12" s="1"/>
  <c r="AC39" i="12"/>
  <c r="AA45" i="12"/>
  <c r="AC45" i="12" s="1"/>
  <c r="N12" i="12"/>
  <c r="L40" i="12"/>
  <c r="N40" i="12" s="1"/>
  <c r="L6" i="10"/>
  <c r="E7" i="10"/>
  <c r="G4" i="10"/>
  <c r="G7" i="10" s="1"/>
  <c r="I10" i="12"/>
  <c r="G13" i="12"/>
  <c r="AA10" i="12"/>
  <c r="G38" i="12"/>
  <c r="AA11" i="9"/>
  <c r="AC11" i="9"/>
  <c r="AA10" i="9"/>
  <c r="BA93" i="5" l="1"/>
  <c r="M9" i="11"/>
  <c r="H68" i="13"/>
  <c r="J68" i="13" s="1"/>
  <c r="K45" i="13"/>
  <c r="G72" i="13"/>
  <c r="M72" i="13"/>
  <c r="K44" i="13"/>
  <c r="G73" i="13"/>
  <c r="I73" i="13" s="1"/>
  <c r="J75" i="13"/>
  <c r="J80" i="13" s="1"/>
  <c r="O72" i="13"/>
  <c r="AX93" i="5"/>
  <c r="J9" i="11"/>
  <c r="I52" i="13"/>
  <c r="I56" i="13" s="1"/>
  <c r="I60" i="13" s="1"/>
  <c r="I43" i="13"/>
  <c r="G75" i="13"/>
  <c r="G80" i="13" s="1"/>
  <c r="J10" i="12"/>
  <c r="J4" i="10"/>
  <c r="J7" i="10" s="1"/>
  <c r="J40" i="12"/>
  <c r="L16" i="13"/>
  <c r="J21" i="10"/>
  <c r="H45" i="13"/>
  <c r="H75" i="13"/>
  <c r="H80" i="13" s="1"/>
  <c r="J72" i="13"/>
  <c r="J12" i="12"/>
  <c r="AA38" i="12"/>
  <c r="G41" i="12"/>
  <c r="L38" i="12"/>
  <c r="L13" i="12"/>
  <c r="I38" i="12"/>
  <c r="I13" i="12"/>
  <c r="H13" i="12"/>
  <c r="H38" i="12"/>
  <c r="H41" i="12" s="1"/>
  <c r="F7" i="10"/>
  <c r="H4" i="10"/>
  <c r="AC10" i="9"/>
  <c r="M11" i="11" l="1"/>
  <c r="BA101" i="5"/>
  <c r="M19" i="11" s="1"/>
  <c r="J11" i="11"/>
  <c r="AX101" i="5"/>
  <c r="J19" i="11" s="1"/>
  <c r="J73" i="13"/>
  <c r="I44" i="13"/>
  <c r="I67" i="13"/>
  <c r="I45" i="13" s="1"/>
  <c r="J13" i="12"/>
  <c r="G15" i="12" s="1"/>
  <c r="G16" i="12" s="1"/>
  <c r="H7" i="10"/>
  <c r="E9" i="10" s="1"/>
  <c r="L41" i="12"/>
  <c r="I41" i="12"/>
  <c r="J38" i="12"/>
  <c r="J41" i="12" s="1"/>
  <c r="G51" i="12" s="1"/>
  <c r="AA44" i="12"/>
  <c r="E73" i="9"/>
  <c r="E72" i="9"/>
  <c r="H15" i="12" l="1"/>
  <c r="H16" i="12" s="1"/>
  <c r="I75" i="13"/>
  <c r="I80" i="13" s="1"/>
  <c r="F9" i="10"/>
  <c r="F10" i="10" s="1"/>
  <c r="H51" i="12"/>
  <c r="H52" i="12" s="1"/>
  <c r="H56" i="12" s="1"/>
  <c r="H60" i="12" s="1"/>
  <c r="I15" i="12"/>
  <c r="I16" i="12" s="1"/>
  <c r="G43" i="12"/>
  <c r="G52" i="12"/>
  <c r="G56" i="12" s="1"/>
  <c r="G60" i="12" s="1"/>
  <c r="H43" i="12"/>
  <c r="G9" i="10"/>
  <c r="G10" i="10" s="1"/>
  <c r="E10" i="10"/>
  <c r="I51" i="12"/>
  <c r="J51" i="12" s="1"/>
  <c r="J52" i="12" s="1"/>
  <c r="J56" i="12" s="1"/>
  <c r="J60" i="12" s="1"/>
  <c r="J67" i="12" s="1"/>
  <c r="J79" i="9"/>
  <c r="J78" i="9"/>
  <c r="J77" i="9"/>
  <c r="J15" i="12" l="1"/>
  <c r="J16" i="12" s="1"/>
  <c r="G72" i="12"/>
  <c r="M72" i="12"/>
  <c r="O72" i="12"/>
  <c r="G73" i="12"/>
  <c r="I73" i="12" s="1"/>
  <c r="J73" i="12" s="1"/>
  <c r="H68" i="12"/>
  <c r="J68" i="12" s="1"/>
  <c r="H67" i="12"/>
  <c r="H44" i="12"/>
  <c r="G44" i="12"/>
  <c r="G67" i="12"/>
  <c r="I43" i="12"/>
  <c r="J43" i="12" s="1"/>
  <c r="K43" i="12" s="1"/>
  <c r="I52" i="12"/>
  <c r="I56" i="12" s="1"/>
  <c r="I60" i="12" s="1"/>
  <c r="L16" i="12"/>
  <c r="J10" i="10"/>
  <c r="H9" i="10"/>
  <c r="H10" i="10" s="1"/>
  <c r="H63" i="9"/>
  <c r="H45" i="12" l="1"/>
  <c r="H75" i="12"/>
  <c r="H80" i="12" s="1"/>
  <c r="G45" i="12"/>
  <c r="G75" i="12"/>
  <c r="G80" i="12" s="1"/>
  <c r="I67" i="12"/>
  <c r="I44" i="12"/>
  <c r="J44" i="12" s="1"/>
  <c r="K44" i="12" s="1"/>
  <c r="K8" i="9"/>
  <c r="I45" i="12" l="1"/>
  <c r="J45" i="12" s="1"/>
  <c r="I35" i="9"/>
  <c r="G63" i="9"/>
  <c r="I63" i="9" s="1"/>
  <c r="K46" i="12" l="1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H16" i="5"/>
  <c r="CH24" i="5"/>
  <c r="CH32" i="5"/>
  <c r="CH40" i="5"/>
  <c r="CH48" i="5"/>
  <c r="CH56" i="5"/>
  <c r="CH72" i="5"/>
  <c r="CH9" i="5"/>
  <c r="CH17" i="5"/>
  <c r="CH25" i="5"/>
  <c r="CH33" i="5"/>
  <c r="CH41" i="5"/>
  <c r="CH57" i="5"/>
  <c r="CH65" i="5"/>
  <c r="CH10" i="5"/>
  <c r="CH18" i="5"/>
  <c r="CH26" i="5"/>
  <c r="CH34" i="5"/>
  <c r="CH42" i="5"/>
  <c r="CH50" i="5"/>
  <c r="CH66" i="5"/>
  <c r="CH74" i="5"/>
  <c r="CH11" i="5"/>
  <c r="CJ11" i="5" s="1"/>
  <c r="CH19" i="5"/>
  <c r="CH27" i="5"/>
  <c r="CH35" i="5"/>
  <c r="CH43" i="5"/>
  <c r="CH51" i="5"/>
  <c r="CH59" i="5"/>
  <c r="CH75" i="5"/>
  <c r="CH4" i="5"/>
  <c r="CH12" i="5"/>
  <c r="CH20" i="5"/>
  <c r="CH28" i="5"/>
  <c r="CH36" i="5"/>
  <c r="CH44" i="5"/>
  <c r="CH60" i="5"/>
  <c r="CH68" i="5"/>
  <c r="CH5" i="5"/>
  <c r="CH13" i="5"/>
  <c r="CH21" i="5"/>
  <c r="CH29" i="5"/>
  <c r="CH37" i="5"/>
  <c r="CH45" i="5"/>
  <c r="CH53" i="5"/>
  <c r="CH69" i="5"/>
  <c r="CH2" i="5"/>
  <c r="CH14" i="5"/>
  <c r="CH22" i="5"/>
  <c r="CJ22" i="5" s="1"/>
  <c r="CH30" i="5"/>
  <c r="CH38" i="5"/>
  <c r="CH46" i="5"/>
  <c r="CH54" i="5"/>
  <c r="CH62" i="5"/>
  <c r="CH7" i="5"/>
  <c r="CH15" i="5"/>
  <c r="CH23" i="5"/>
  <c r="CH31" i="5"/>
  <c r="CH39" i="5"/>
  <c r="CH47" i="5"/>
  <c r="CH63" i="5"/>
  <c r="CH71" i="5"/>
  <c r="CG14" i="5"/>
  <c r="CJ14" i="5" s="1"/>
  <c r="CG30" i="5"/>
  <c r="CG38" i="5"/>
  <c r="CG46" i="5"/>
  <c r="CG54" i="5"/>
  <c r="CG62" i="5"/>
  <c r="CG7" i="5"/>
  <c r="CG15" i="5"/>
  <c r="CJ15" i="5" s="1"/>
  <c r="CG23" i="5"/>
  <c r="CJ23" i="5" s="1"/>
  <c r="CG31" i="5"/>
  <c r="CG39" i="5"/>
  <c r="CG47" i="5"/>
  <c r="CG63" i="5"/>
  <c r="CG71" i="5"/>
  <c r="CG8" i="5"/>
  <c r="CJ8" i="5" s="1"/>
  <c r="CG16" i="5"/>
  <c r="CJ16" i="5" s="1"/>
  <c r="CG24" i="5"/>
  <c r="CJ24" i="5" s="1"/>
  <c r="CG32" i="5"/>
  <c r="CJ32" i="5" s="1"/>
  <c r="CG40" i="5"/>
  <c r="CJ40" i="5" s="1"/>
  <c r="CG48" i="5"/>
  <c r="CG56" i="5"/>
  <c r="CG72" i="5"/>
  <c r="CG9" i="5"/>
  <c r="CJ9" i="5" s="1"/>
  <c r="CG17" i="5"/>
  <c r="CJ17" i="5" s="1"/>
  <c r="CG25" i="5"/>
  <c r="CJ25" i="5" s="1"/>
  <c r="CG33" i="5"/>
  <c r="CJ33" i="5" s="1"/>
  <c r="CG41" i="5"/>
  <c r="CJ41" i="5" s="1"/>
  <c r="CG57" i="5"/>
  <c r="CG65" i="5"/>
  <c r="CG10" i="5"/>
  <c r="CJ10" i="5" s="1"/>
  <c r="CG18" i="5"/>
  <c r="CJ18" i="5" s="1"/>
  <c r="CG26" i="5"/>
  <c r="CJ26" i="5" s="1"/>
  <c r="CG34" i="5"/>
  <c r="CJ34" i="5" s="1"/>
  <c r="CG42" i="5"/>
  <c r="CJ42" i="5" s="1"/>
  <c r="CG50" i="5"/>
  <c r="CJ50" i="5" s="1"/>
  <c r="CG66" i="5"/>
  <c r="CG74" i="5"/>
  <c r="CG19" i="5"/>
  <c r="CJ19" i="5" s="1"/>
  <c r="CG27" i="5"/>
  <c r="CJ27" i="5" s="1"/>
  <c r="CG35" i="5"/>
  <c r="CJ35" i="5" s="1"/>
  <c r="CG43" i="5"/>
  <c r="CJ43" i="5" s="1"/>
  <c r="CG51" i="5"/>
  <c r="CJ51" i="5" s="1"/>
  <c r="CG59" i="5"/>
  <c r="CG75" i="5"/>
  <c r="CG4" i="5"/>
  <c r="CG12" i="5"/>
  <c r="CJ12" i="5" s="1"/>
  <c r="CG20" i="5"/>
  <c r="CJ20" i="5" s="1"/>
  <c r="CG28" i="5"/>
  <c r="CJ28" i="5" s="1"/>
  <c r="CG36" i="5"/>
  <c r="CJ36" i="5" s="1"/>
  <c r="CG44" i="5"/>
  <c r="CJ44" i="5" s="1"/>
  <c r="CG60" i="5"/>
  <c r="CG68" i="5"/>
  <c r="CG5" i="5"/>
  <c r="CG13" i="5"/>
  <c r="CJ13" i="5" s="1"/>
  <c r="CG21" i="5"/>
  <c r="CJ21" i="5" s="1"/>
  <c r="CG29" i="5"/>
  <c r="CJ29" i="5" s="1"/>
  <c r="CG37" i="5"/>
  <c r="CJ37" i="5" s="1"/>
  <c r="CG45" i="5"/>
  <c r="CJ45" i="5" s="1"/>
  <c r="CG53" i="5"/>
  <c r="CG69" i="5"/>
  <c r="CG2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72" i="5" l="1"/>
  <c r="CJ5" i="5"/>
  <c r="CJ4" i="5"/>
  <c r="CJ39" i="5"/>
  <c r="CJ38" i="5"/>
  <c r="CH79" i="5"/>
  <c r="CH80" i="5" s="1"/>
  <c r="CJ7" i="5"/>
  <c r="CJ2" i="5"/>
  <c r="CG79" i="5"/>
  <c r="CG80" i="5" s="1"/>
  <c r="CJ66" i="5"/>
  <c r="CJ57" i="5"/>
  <c r="CJ48" i="5"/>
  <c r="CJ60" i="5"/>
  <c r="CJ53" i="5"/>
  <c r="CJ59" i="5"/>
  <c r="CJ71" i="5"/>
  <c r="CJ62" i="5"/>
  <c r="CJ74" i="5"/>
  <c r="CJ65" i="5"/>
  <c r="CJ56" i="5"/>
  <c r="CJ63" i="5"/>
  <c r="CJ54" i="5"/>
  <c r="CJ69" i="5"/>
  <c r="CJ68" i="5"/>
  <c r="CJ47" i="5"/>
  <c r="CJ46" i="5"/>
  <c r="CJ75" i="5"/>
  <c r="CJ31" i="5"/>
  <c r="CJ30" i="5"/>
  <c r="F80" i="9"/>
  <c r="F45" i="9"/>
  <c r="N22" i="9"/>
  <c r="N21" i="9"/>
  <c r="H51" i="9"/>
  <c r="H43" i="9" s="1"/>
  <c r="I51" i="9"/>
  <c r="I43" i="9" s="1"/>
  <c r="CJ79" i="5" l="1"/>
  <c r="CJ80" i="5" s="1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10" i="12" l="1"/>
  <c r="K4" i="10"/>
  <c r="N41" i="9"/>
  <c r="N38" i="9"/>
  <c r="J43" i="9"/>
  <c r="K43" i="9" s="1"/>
  <c r="I67" i="9"/>
  <c r="I45" i="9" s="1"/>
  <c r="K7" i="10" l="1"/>
  <c r="L4" i="10"/>
  <c r="L7" i="10" s="1"/>
  <c r="M38" i="12"/>
  <c r="M13" i="12"/>
  <c r="AB10" i="12"/>
  <c r="AC10" i="12" s="1"/>
  <c r="N10" i="12"/>
  <c r="N13" i="12" s="1"/>
  <c r="J44" i="9"/>
  <c r="K44" i="9" s="1"/>
  <c r="M41" i="12" l="1"/>
  <c r="N38" i="12"/>
  <c r="AB38" i="12"/>
  <c r="J67" i="9"/>
  <c r="AB44" i="12" l="1"/>
  <c r="AC44" i="12" s="1"/>
  <c r="AC38" i="12"/>
  <c r="N41" i="12"/>
  <c r="I69" i="12"/>
  <c r="G73" i="9"/>
  <c r="G72" i="9"/>
  <c r="H68" i="9"/>
  <c r="J68" i="9" s="1"/>
  <c r="I69" i="9"/>
  <c r="H67" i="9"/>
  <c r="H45" i="9" s="1"/>
  <c r="G67" i="9"/>
  <c r="G45" i="9" s="1"/>
  <c r="J69" i="12" l="1"/>
  <c r="J75" i="12" s="1"/>
  <c r="J80" i="12" s="1"/>
  <c r="I75" i="12"/>
  <c r="I80" i="12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E1ABB81-6AC7-4816-AC9B-7CD4D9FB17B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1E7A318-05B8-49FF-8144-50B4534E492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6A036F0-4113-4548-843E-B0555CCFD89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FC68617-9B79-4B48-B7DE-E9CBCFBA0FA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425DA37-2B58-4C1A-8D4B-3E97A7443F8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F0D71C2-453B-4AB0-8935-9BD7B3BA888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F124BF3-E3BF-4B27-AD05-49E2C301005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3CCC4AB-F0F2-423F-A49D-C6CB77F5AA5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85D9A8B-9FE5-4A3F-A116-F0F642F71C7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F390696-9026-4439-ABD0-811BA16767F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6B287C4-ED69-4E95-9DCD-6AAFE87ADB5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8871683-1F7D-4443-8DA7-F665D29DF8B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3778732-CF2E-4848-AC04-72AB20AB4FE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0494A65-21EA-466F-A42F-3302CD04C20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FD694E3-2F64-400D-87A3-2EFC0CD9226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4A1ED06-4BF2-46E6-A43E-0E6642F6513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DF55AE4-6D96-4A80-B608-A664ECE8CBD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52F76F9-E7F5-4A56-B8B4-A0794A0675C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0F06D8AA-B7D7-473F-82B3-F8CC655686B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7E1C09EB-69A1-4F15-BCC7-2161957CA42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<sst xmlns="http://schemas.openxmlformats.org/spreadsheetml/2006/main" count="2223" uniqueCount="609">
  <si>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</si>
  <si>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</si>
  <si>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</si>
  <si>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</si>
  <si>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</si>
  <si>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</si>
  <si>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</si>
  <si>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</si>
  <si>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</si>
  <si>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</si>
  <si>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</si>
  <si>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</si>
  <si>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</si>
  <si>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</si>
  <si>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</si>
  <si>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</si>
  <si>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</si>
  <si>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</si>
  <si>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</si>
  <si>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</si>
  <si>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</si>
  <si>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</si>
  <si>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</si>
  <si>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</si>
  <si>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</si>
  <si>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</si>
  <si>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</si>
  <si>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</si>
  <si>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</si>
  <si>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</si>
  <si>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</si>
  <si>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</si>
  <si>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</si>
  <si>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</si>
  <si>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</si>
  <si>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</si>
  <si>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</si>
  <si>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</si>
  <si>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</si>
  <si>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</si>
  <si>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</si>
  <si>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</si>
  <si>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</si>
  <si>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</si>
  <si>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</si>
  <si>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</si>
  <si>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</si>
  <si>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</si>
  <si>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</si>
  <si>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</si>
  <si>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</si>
  <si>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</si>
  <si>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</si>
  <si>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</si>
  <si>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</si>
  <si>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</si>
  <si>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</si>
  <si>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</si>
  <si>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</si>
  <si>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</si>
  <si>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</si>
  <si>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</si>
  <si>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</si>
  <si>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</si>
  <si>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</si>
  <si>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</si>
  <si>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</si>
  <si>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</si>
  <si>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</si>
  <si>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</si>
  <si>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</si>
  <si>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</si>
  <si>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</si>
  <si>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</si>
  <si>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</si>
  <si>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</si>
  <si>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</si>
  <si>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</si>
  <si>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</si>
  <si>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</si>
  <si>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</si>
  <si>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</si>
  <si>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</si>
  <si>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</si>
  <si>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</si>
  <si>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</si>
  <si>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</si>
  <si>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</si>
  <si>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</si>
  <si>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</si>
  <si>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</si>
  <si>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</si>
  <si>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</si>
  <si>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</si>
  <si>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</si>
  <si>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</si>
  <si>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</si>
  <si>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</si>
  <si>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</si>
  <si>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</si>
  <si>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</si>
  <si>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</si>
  <si>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</si>
  <si>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</si>
  <si>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</si>
  <si>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</si>
  <si>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</si>
  <si>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</si>
  <si>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</si>
  <si>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</si>
  <si>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</si>
  <si>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</si>
  <si>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</si>
  <si>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</si>
  <si>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</si>
  <si>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</si>
  <si>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</si>
  <si>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</si>
  <si>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</si>
  <si>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</si>
  <si>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</si>
  <si>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</si>
  <si>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</si>
  <si>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</si>
  <si>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</si>
  <si>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</si>
  <si>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</si>
  <si>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</si>
  <si>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</si>
  <si>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</si>
  <si>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</si>
  <si>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</si>
  <si>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</si>
  <si>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</si>
  <si>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</si>
  <si>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</si>
  <si>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</si>
  <si>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</si>
  <si>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</si>
  <si>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</si>
  <si>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</si>
  <si>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</si>
  <si>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</si>
  <si>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</si>
  <si>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</si>
  <si>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</si>
  <si>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</si>
  <si>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</si>
  <si>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</si>
  <si>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</si>
  <si>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</si>
  <si>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</si>
  <si>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</si>
  <si>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</si>
  <si>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</si>
  <si>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</si>
  <si>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</si>
  <si>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</si>
  <si>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</si>
  <si>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</si>
  <si>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</si>
  <si>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</si>
  <si>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</si>
  <si>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250</t>
  </si>
  <si>
    <t>0058</t>
  </si>
  <si>
    <t>FINANCIAL EXAMINER/I</t>
  </si>
  <si>
    <t>0229</t>
  </si>
  <si>
    <t>00</t>
  </si>
  <si>
    <t>FIAA</t>
  </si>
  <si>
    <t>004</t>
  </si>
  <si>
    <t>04439</t>
  </si>
  <si>
    <t>M</t>
  </si>
  <si>
    <t>F</t>
  </si>
  <si>
    <t>CR</t>
  </si>
  <si>
    <t>LYONS, GLENN P.</t>
  </si>
  <si>
    <t>LYONS</t>
  </si>
  <si>
    <t>GLENN</t>
  </si>
  <si>
    <t>PEARSON</t>
  </si>
  <si>
    <t xml:space="preserve">HM   </t>
  </si>
  <si>
    <t>H</t>
  </si>
  <si>
    <t>FS</t>
  </si>
  <si>
    <t>E</t>
  </si>
  <si>
    <t>N</t>
  </si>
  <si>
    <t>Y</t>
  </si>
  <si>
    <t xml:space="preserve">    </t>
  </si>
  <si>
    <t>0061</t>
  </si>
  <si>
    <t>001</t>
  </si>
  <si>
    <t>V</t>
  </si>
  <si>
    <t>0007</t>
  </si>
  <si>
    <t>FIN INST EXMNR, COMM</t>
  </si>
  <si>
    <t>04415</t>
  </si>
  <si>
    <t>O</t>
  </si>
  <si>
    <t>NEVIN, BRANDT J.</t>
  </si>
  <si>
    <t>NEVIN</t>
  </si>
  <si>
    <t>BRANDT</t>
  </si>
  <si>
    <t>J</t>
  </si>
  <si>
    <t xml:space="preserve">HO   </t>
  </si>
  <si>
    <t>0057</t>
  </si>
  <si>
    <t>04413</t>
  </si>
  <si>
    <t>P</t>
  </si>
  <si>
    <t>SHERRICK, RICHARD J.</t>
  </si>
  <si>
    <t>SHERRICK</t>
  </si>
  <si>
    <t>RICHARD</t>
  </si>
  <si>
    <t>JOSEPH</t>
  </si>
  <si>
    <t xml:space="preserve">HP   </t>
  </si>
  <si>
    <t>0049</t>
  </si>
  <si>
    <t>0004</t>
  </si>
  <si>
    <t>HAWES, TALINA R.</t>
  </si>
  <si>
    <t>HAWES</t>
  </si>
  <si>
    <t>TALINA</t>
  </si>
  <si>
    <t>RACHEL</t>
  </si>
  <si>
    <t>04441</t>
  </si>
  <si>
    <t xml:space="preserve">HL   </t>
  </si>
  <si>
    <t>0055</t>
  </si>
  <si>
    <t>04437</t>
  </si>
  <si>
    <t xml:space="preserve">WOODBURY, TRAVIS </t>
  </si>
  <si>
    <t>WOODBURY</t>
  </si>
  <si>
    <t>TRAVIS</t>
  </si>
  <si>
    <t xml:space="preserve">              </t>
  </si>
  <si>
    <t>0003</t>
  </si>
  <si>
    <t>CONSUMER FINANCE BUR</t>
  </si>
  <si>
    <t>04412</t>
  </si>
  <si>
    <t>VAN ENGELEN, ERIN J.</t>
  </si>
  <si>
    <t>VAN ENGELEN</t>
  </si>
  <si>
    <t>ERIN</t>
  </si>
  <si>
    <t>0054</t>
  </si>
  <si>
    <t xml:space="preserve">GARCIA, NATHANAEL </t>
  </si>
  <si>
    <t>GARCIA</t>
  </si>
  <si>
    <t>NATHANAEL</t>
  </si>
  <si>
    <t>04419</t>
  </si>
  <si>
    <t>0001</t>
  </si>
  <si>
    <t xml:space="preserve">DIRECTOR            </t>
  </si>
  <si>
    <t>29200</t>
  </si>
  <si>
    <t>NR</t>
  </si>
  <si>
    <t>PERKINS, PATRICIA R.</t>
  </si>
  <si>
    <t>PERKINS</t>
  </si>
  <si>
    <t>PATRICIA</t>
  </si>
  <si>
    <t>R</t>
  </si>
  <si>
    <t>00000</t>
  </si>
  <si>
    <t>0050</t>
  </si>
  <si>
    <t>MERRITT, KURT V.</t>
  </si>
  <si>
    <t>MERRITT</t>
  </si>
  <si>
    <t>KURT</t>
  </si>
  <si>
    <t>0048</t>
  </si>
  <si>
    <t>WARDELL, MARC A.</t>
  </si>
  <si>
    <t>WARDELL</t>
  </si>
  <si>
    <t>MARC</t>
  </si>
  <si>
    <t>ALLEN</t>
  </si>
  <si>
    <t>0092</t>
  </si>
  <si>
    <t>PHILLIPS, CAREY F.</t>
  </si>
  <si>
    <t>PHILLIPS</t>
  </si>
  <si>
    <t>CAREY</t>
  </si>
  <si>
    <t>FAY</t>
  </si>
  <si>
    <t>0047</t>
  </si>
  <si>
    <t>LAINE, JILLIAN K.</t>
  </si>
  <si>
    <t>LAINE</t>
  </si>
  <si>
    <t>JILLIAN</t>
  </si>
  <si>
    <t>K</t>
  </si>
  <si>
    <t>0091</t>
  </si>
  <si>
    <t>HARDEN, ANNAMARIE C.</t>
  </si>
  <si>
    <t>HARDEN</t>
  </si>
  <si>
    <t>ANNAMARIE</t>
  </si>
  <si>
    <t>C</t>
  </si>
  <si>
    <t>0046</t>
  </si>
  <si>
    <t>NATE, TOM H.</t>
  </si>
  <si>
    <t>NATE</t>
  </si>
  <si>
    <t>TOM</t>
  </si>
  <si>
    <t>0090</t>
  </si>
  <si>
    <t xml:space="preserve">SARRETT, KIMBERLY </t>
  </si>
  <si>
    <t>SARRETT</t>
  </si>
  <si>
    <t>KIMBERLY</t>
  </si>
  <si>
    <t>0045</t>
  </si>
  <si>
    <t>BOLT, KRISTA M.</t>
  </si>
  <si>
    <t>BOLT</t>
  </si>
  <si>
    <t>KRISTA</t>
  </si>
  <si>
    <t>0089</t>
  </si>
  <si>
    <t>002</t>
  </si>
  <si>
    <t>DEMARCO, LESLIE P.</t>
  </si>
  <si>
    <t>DEMARCO</t>
  </si>
  <si>
    <t>LESLIE</t>
  </si>
  <si>
    <t>PETERSON</t>
  </si>
  <si>
    <t>0044</t>
  </si>
  <si>
    <t>CONSUMER AFFAIRS OFC</t>
  </si>
  <si>
    <t>08926</t>
  </si>
  <si>
    <t>L</t>
  </si>
  <si>
    <t xml:space="preserve">KINNEY, CELIA </t>
  </si>
  <si>
    <t>KINNEY</t>
  </si>
  <si>
    <t>CELIA</t>
  </si>
  <si>
    <t>0088</t>
  </si>
  <si>
    <t xml:space="preserve">DEPUTY DIRECTOR     </t>
  </si>
  <si>
    <t>21329</t>
  </si>
  <si>
    <t>POLIDORI, ANTHONY T.</t>
  </si>
  <si>
    <t>POLIDORI</t>
  </si>
  <si>
    <t>ANTHONY</t>
  </si>
  <si>
    <t>T.</t>
  </si>
  <si>
    <t>0043</t>
  </si>
  <si>
    <t>ADMINISTRATIVE SUPRT</t>
  </si>
  <si>
    <t>08835</t>
  </si>
  <si>
    <t>JENSEN, DAVID L.</t>
  </si>
  <si>
    <t>JENSEN</t>
  </si>
  <si>
    <t>DAVID</t>
  </si>
  <si>
    <t>LYNN</t>
  </si>
  <si>
    <t xml:space="preserve">HN   </t>
  </si>
  <si>
    <t>0085</t>
  </si>
  <si>
    <t xml:space="preserve">OFFICE SPECIALIST 2 </t>
  </si>
  <si>
    <t>01239</t>
  </si>
  <si>
    <t>G</t>
  </si>
  <si>
    <t xml:space="preserve">ADCOCK, ELIZABETH </t>
  </si>
  <si>
    <t>ADCOCK</t>
  </si>
  <si>
    <t>ELIZABETH</t>
  </si>
  <si>
    <t xml:space="preserve">HG   </t>
  </si>
  <si>
    <t>0042</t>
  </si>
  <si>
    <t>LAIL, KEVIN M.</t>
  </si>
  <si>
    <t>LAIL</t>
  </si>
  <si>
    <t>KEVIN</t>
  </si>
  <si>
    <t>0084</t>
  </si>
  <si>
    <t>REAL, NORMAN J.</t>
  </si>
  <si>
    <t>REAL</t>
  </si>
  <si>
    <t>NORMAN</t>
  </si>
  <si>
    <t>0041</t>
  </si>
  <si>
    <t xml:space="preserve">LI, ZHUNSHUAI </t>
  </si>
  <si>
    <t>LI</t>
  </si>
  <si>
    <t>ZHUNSHUAI</t>
  </si>
  <si>
    <t>0082</t>
  </si>
  <si>
    <t>BECK, ETHAN C.</t>
  </si>
  <si>
    <t>BECK</t>
  </si>
  <si>
    <t>ETHAN</t>
  </si>
  <si>
    <t>04421</t>
  </si>
  <si>
    <t>0040</t>
  </si>
  <si>
    <t>KLINE, DANIEL D.</t>
  </si>
  <si>
    <t>KLINE</t>
  </si>
  <si>
    <t>DANIEL</t>
  </si>
  <si>
    <t>D</t>
  </si>
  <si>
    <t>0081</t>
  </si>
  <si>
    <t xml:space="preserve">ADMIN ASST 1        </t>
  </si>
  <si>
    <t>01235</t>
  </si>
  <si>
    <t xml:space="preserve">WHITE, MEL </t>
  </si>
  <si>
    <t>WHITE</t>
  </si>
  <si>
    <t>MEL</t>
  </si>
  <si>
    <t xml:space="preserve">HH   </t>
  </si>
  <si>
    <t>0039</t>
  </si>
  <si>
    <t>CLEMENT, BRENDA L.</t>
  </si>
  <si>
    <t>CLEMENT</t>
  </si>
  <si>
    <t>BRENDA</t>
  </si>
  <si>
    <t>LEE</t>
  </si>
  <si>
    <t>0080</t>
  </si>
  <si>
    <t>GUGINO, AARON M.</t>
  </si>
  <si>
    <t>GUGINO</t>
  </si>
  <si>
    <t>AARON</t>
  </si>
  <si>
    <t>0038</t>
  </si>
  <si>
    <t xml:space="preserve">TECH RECORDS SPEC 1 </t>
  </si>
  <si>
    <t>01104</t>
  </si>
  <si>
    <t>MCCULLOUGH, MOLLY M.</t>
  </si>
  <si>
    <t>MCCULLOUGH</t>
  </si>
  <si>
    <t>MOLLY</t>
  </si>
  <si>
    <t>0079</t>
  </si>
  <si>
    <t>BOURN, BENNIE J.</t>
  </si>
  <si>
    <t>BOURN</t>
  </si>
  <si>
    <t>BENNIE</t>
  </si>
  <si>
    <t>JAMES</t>
  </si>
  <si>
    <t>0036</t>
  </si>
  <si>
    <t xml:space="preserve">SECURITIES BUR CHF  </t>
  </si>
  <si>
    <t>005</t>
  </si>
  <si>
    <t>04404</t>
  </si>
  <si>
    <t>HIGHLEY, PATRICIA R.</t>
  </si>
  <si>
    <t>HIGHLEY</t>
  </si>
  <si>
    <t>0078</t>
  </si>
  <si>
    <t>LOLO, KRISTEN M.</t>
  </si>
  <si>
    <t>LOLO</t>
  </si>
  <si>
    <t>KRISTEN</t>
  </si>
  <si>
    <t>0034</t>
  </si>
  <si>
    <t>ENGLISH, TRACY L.</t>
  </si>
  <si>
    <t>ENGLISH</t>
  </si>
  <si>
    <t>TRACY</t>
  </si>
  <si>
    <t>0077</t>
  </si>
  <si>
    <t xml:space="preserve">FIELDS, JAMIE </t>
  </si>
  <si>
    <t>FIELDS</t>
  </si>
  <si>
    <t>JAMIE</t>
  </si>
  <si>
    <t>0033</t>
  </si>
  <si>
    <t>FINANCL INSTNS BUR C</t>
  </si>
  <si>
    <t>04408</t>
  </si>
  <si>
    <t>Q</t>
  </si>
  <si>
    <t xml:space="preserve">CRUZ, SALVADOR </t>
  </si>
  <si>
    <t>CRUZ</t>
  </si>
  <si>
    <t>SALVADOR</t>
  </si>
  <si>
    <t xml:space="preserve">HQ   </t>
  </si>
  <si>
    <t>0076</t>
  </si>
  <si>
    <t>CARPENTER, BRAD C.</t>
  </si>
  <si>
    <t>CARPENTER</t>
  </si>
  <si>
    <t>BRAD</t>
  </si>
  <si>
    <t>0032</t>
  </si>
  <si>
    <t>BUTLER, KRISTEN D.</t>
  </si>
  <si>
    <t>BUTLER</t>
  </si>
  <si>
    <t>0075</t>
  </si>
  <si>
    <t>LAMBETH, SYDNEY A.</t>
  </si>
  <si>
    <t>LAMBETH</t>
  </si>
  <si>
    <t>SYDNEY</t>
  </si>
  <si>
    <t>ARIEL</t>
  </si>
  <si>
    <t>0028</t>
  </si>
  <si>
    <t>BIRETZ, JENNIFER P.</t>
  </si>
  <si>
    <t>BIRETZ</t>
  </si>
  <si>
    <t>JENNIFER</t>
  </si>
  <si>
    <t>0074</t>
  </si>
  <si>
    <t>HUNDT, AARON J.</t>
  </si>
  <si>
    <t>HUNDT</t>
  </si>
  <si>
    <t>JEROME</t>
  </si>
  <si>
    <t>0027</t>
  </si>
  <si>
    <t xml:space="preserve">OSGOOD, SPENCER </t>
  </si>
  <si>
    <t>OSGOOD</t>
  </si>
  <si>
    <t>SPENCER</t>
  </si>
  <si>
    <t>04423</t>
  </si>
  <si>
    <t xml:space="preserve">HK   </t>
  </si>
  <si>
    <t>0073</t>
  </si>
  <si>
    <t>SANDERS, STEPHANIE M.</t>
  </si>
  <si>
    <t>SANDERS</t>
  </si>
  <si>
    <t>STEPHANIE</t>
  </si>
  <si>
    <t>MARIE</t>
  </si>
  <si>
    <t>0026</t>
  </si>
  <si>
    <t>QUINTERO CORREDOR, GABRIEL O.</t>
  </si>
  <si>
    <t>QUINTERO CORREDOR</t>
  </si>
  <si>
    <t>GABRIEL</t>
  </si>
  <si>
    <t>ORLANDO</t>
  </si>
  <si>
    <t>0071</t>
  </si>
  <si>
    <t>FINANCIAL INST. IT E</t>
  </si>
  <si>
    <t>04448</t>
  </si>
  <si>
    <t xml:space="preserve">LEHMAN, TAYLOR </t>
  </si>
  <si>
    <t>LEHMAN</t>
  </si>
  <si>
    <t>TAYLOR</t>
  </si>
  <si>
    <t>04445</t>
  </si>
  <si>
    <t>9999</t>
  </si>
  <si>
    <t xml:space="preserve">TEMPORARY EMPLOYEES </t>
  </si>
  <si>
    <t>003</t>
  </si>
  <si>
    <t>95000</t>
  </si>
  <si>
    <t>NG</t>
  </si>
  <si>
    <t>0025</t>
  </si>
  <si>
    <t>VOSE, GARRETT T.</t>
  </si>
  <si>
    <t>VOSE</t>
  </si>
  <si>
    <t>GARRETT</t>
  </si>
  <si>
    <t>T</t>
  </si>
  <si>
    <t>0070</t>
  </si>
  <si>
    <t>WARE, THOMAS J.</t>
  </si>
  <si>
    <t>WARE</t>
  </si>
  <si>
    <t>THOMAS</t>
  </si>
  <si>
    <t>9998</t>
  </si>
  <si>
    <t>0024</t>
  </si>
  <si>
    <t>FORTH, ANDREW C.</t>
  </si>
  <si>
    <t>FORTH</t>
  </si>
  <si>
    <t>ANDREW</t>
  </si>
  <si>
    <t>0069</t>
  </si>
  <si>
    <t>AX, NANCY C.</t>
  </si>
  <si>
    <t>AX</t>
  </si>
  <si>
    <t>NANCY</t>
  </si>
  <si>
    <t>9997</t>
  </si>
  <si>
    <t>0023</t>
  </si>
  <si>
    <t>FINANCIAL SPECIALIST</t>
  </si>
  <si>
    <t>04246</t>
  </si>
  <si>
    <t>PETERSON PATE, JILL R.</t>
  </si>
  <si>
    <t>PETERSON PATE</t>
  </si>
  <si>
    <t>JILL</t>
  </si>
  <si>
    <t>0068</t>
  </si>
  <si>
    <t>IVERSON-LONG, BRADLEY B.</t>
  </si>
  <si>
    <t>IVERSON-LONG</t>
  </si>
  <si>
    <t>BRADLEY</t>
  </si>
  <si>
    <t>B</t>
  </si>
  <si>
    <t>9996</t>
  </si>
  <si>
    <t>0022</t>
  </si>
  <si>
    <t>SECURITIES TECHNICIA</t>
  </si>
  <si>
    <t>04444</t>
  </si>
  <si>
    <t>I</t>
  </si>
  <si>
    <t>SHELL, VALERIE A.</t>
  </si>
  <si>
    <t>SHELL</t>
  </si>
  <si>
    <t>VALERIE</t>
  </si>
  <si>
    <t>ANN</t>
  </si>
  <si>
    <t xml:space="preserve">HI   </t>
  </si>
  <si>
    <t>0067</t>
  </si>
  <si>
    <t>TAROREH, CHRISTIAN M.</t>
  </si>
  <si>
    <t>TAROREH</t>
  </si>
  <si>
    <t>CHRISTIAN</t>
  </si>
  <si>
    <t>9994</t>
  </si>
  <si>
    <t>04443</t>
  </si>
  <si>
    <t>0018</t>
  </si>
  <si>
    <t xml:space="preserve">GONZALEZ, ERICKA </t>
  </si>
  <si>
    <t>GONZALEZ</t>
  </si>
  <si>
    <t>ERICKA</t>
  </si>
  <si>
    <t>0066</t>
  </si>
  <si>
    <t>CARPENTER, SCOT D.</t>
  </si>
  <si>
    <t>SCOT</t>
  </si>
  <si>
    <t>DRAYTON</t>
  </si>
  <si>
    <t>0095</t>
  </si>
  <si>
    <t>0017</t>
  </si>
  <si>
    <t xml:space="preserve">HUMAN RESOURCE SPEC </t>
  </si>
  <si>
    <t>05141</t>
  </si>
  <si>
    <t>ABERASTURI, AMBER M.</t>
  </si>
  <si>
    <t>ABERASTURI</t>
  </si>
  <si>
    <t>AMBER</t>
  </si>
  <si>
    <t>MAE</t>
  </si>
  <si>
    <t>0065</t>
  </si>
  <si>
    <t>MELTON, MATTHEW K.</t>
  </si>
  <si>
    <t>MELTON</t>
  </si>
  <si>
    <t>MATTHEW</t>
  </si>
  <si>
    <t>KELLY</t>
  </si>
  <si>
    <t>0094</t>
  </si>
  <si>
    <t>0014</t>
  </si>
  <si>
    <t xml:space="preserve">ADMIN ASST 2        </t>
  </si>
  <si>
    <t>01231</t>
  </si>
  <si>
    <t>BAKER, LISA A.</t>
  </si>
  <si>
    <t>BAKER</t>
  </si>
  <si>
    <t>LISA</t>
  </si>
  <si>
    <t>A</t>
  </si>
  <si>
    <t>0064</t>
  </si>
  <si>
    <t>SVEVAD, NATHAN R.</t>
  </si>
  <si>
    <t>SVEVAD</t>
  </si>
  <si>
    <t>NATHAN</t>
  </si>
  <si>
    <t>0093</t>
  </si>
  <si>
    <t>0011</t>
  </si>
  <si>
    <t>TUNCA, JAMES J.</t>
  </si>
  <si>
    <t>TUNCA</t>
  </si>
  <si>
    <t>0060</t>
  </si>
  <si>
    <t xml:space="preserve">PROGRAM INFORMATION </t>
  </si>
  <si>
    <t>01106</t>
  </si>
  <si>
    <t>HARPER, MARY J.</t>
  </si>
  <si>
    <t>HARPER</t>
  </si>
  <si>
    <t>MARY</t>
  </si>
  <si>
    <t xml:space="preserve">HJ   </t>
  </si>
  <si>
    <t>0086</t>
  </si>
  <si>
    <t>0008</t>
  </si>
  <si>
    <t>MOORE, ROBERT S.</t>
  </si>
  <si>
    <t>MOORE</t>
  </si>
  <si>
    <t>ROBERT</t>
  </si>
  <si>
    <t>STEPHEN</t>
  </si>
  <si>
    <t>0059</t>
  </si>
  <si>
    <t>BELLURY, KORTNIE A.</t>
  </si>
  <si>
    <t>BELLURY</t>
  </si>
  <si>
    <t>KORTNIE</t>
  </si>
  <si>
    <t>ASHTON</t>
  </si>
  <si>
    <t>0063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</si>
  <si>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</si>
  <si>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</si>
  <si>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</si>
  <si>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</si>
  <si>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</si>
  <si>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</si>
  <si>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</si>
  <si>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</si>
  <si>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</si>
  <si>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</si>
  <si>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</si>
  <si>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</si>
  <si>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</si>
  <si>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</si>
  <si>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</si>
  <si>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</si>
  <si>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</si>
  <si>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</si>
  <si>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</si>
  <si>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</si>
  <si>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</si>
  <si>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</si>
  <si>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</si>
  <si>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</si>
  <si>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</si>
  <si>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</si>
  <si>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</si>
  <si>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</si>
  <si>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</si>
  <si>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</si>
  <si>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</si>
  <si>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</si>
  <si>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</si>
  <si>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</si>
  <si>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</si>
  <si>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</si>
  <si>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</si>
  <si>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</si>
  <si>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</si>
  <si>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</si>
  <si>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</si>
  <si>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</si>
  <si>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</si>
  <si>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</si>
  <si>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</si>
  <si>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</si>
  <si>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</si>
  <si>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</si>
  <si>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FIAA 0229-00</t>
  </si>
  <si>
    <t>FIAA 0229</t>
  </si>
  <si>
    <t>Department of Finance</t>
  </si>
  <si>
    <t>State Regulatory</t>
  </si>
  <si>
    <t>0229-00</t>
  </si>
  <si>
    <t>22900</t>
  </si>
  <si>
    <t>Department of Finance, State Regulatory   FIAA-0229-00</t>
  </si>
  <si>
    <t>FIAA 0325-27</t>
  </si>
  <si>
    <t>FIAA 0325</t>
  </si>
  <si>
    <t>Securities Investor Training</t>
  </si>
  <si>
    <t>0325-27</t>
  </si>
  <si>
    <t>32527</t>
  </si>
  <si>
    <t>Department of Finance, Securities Investor Training   FIAA-0325-27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</si>
  <si>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</si>
  <si>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</si>
  <si>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</si>
  <si>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</si>
  <si>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</si>
  <si>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</si>
  <si>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</si>
  <si>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Fund-0229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</si>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</sst>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3583-D6CE-4178-9519-FCA20544BBC8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586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250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586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589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586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587</v>
      </c>
      <c r="J5" s="474"/>
      <c r="K5" s="474"/>
      <c r="L5" s="473"/>
      <c r="M5" s="352" t="s">
        <v>113</v>
      </c>
      <c r="N5" s="32" t="s">
        <v>588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"&amp;'FIAA|0229-00'!FiscalYear-1&amp;" SALARY"</f>
        <v>FY 2023 SALARY</v>
      </c>
      <c r="H8" s="50" t="str">
        <f>"FY "&amp;'FIAA|0229-00'!FiscalYear-1&amp;" HEALTH BENEFITS"</f>
        <v>FY 2023 HEALTH BENEFITS</v>
      </c>
      <c r="I8" s="50" t="str">
        <f>"FY "&amp;'FIAA|0229-00'!FiscalYear-1&amp;" VAR BENEFITS"</f>
        <v>FY 2023 VAR BENEFITS</v>
      </c>
      <c r="J8" s="50" t="str">
        <f>"FY "&amp;'FIAA|0229-00'!FiscalYear-1&amp;" TOTAL"</f>
        <v>FY 2023 TOTAL</v>
      </c>
      <c r="K8" s="50" t="str">
        <f>"FY "&amp;'FIAA|0229-00'!FiscalYear&amp;" SALARY CHANGE"</f>
        <v>FY 2024 SALARY CHANGE</v>
      </c>
      <c r="L8" s="50" t="str">
        <f>"FY "&amp;'FIAA|0229-00'!FiscalYear&amp;" CHG HEALTH BENEFITS"</f>
        <v>FY 2024 CHG HEALTH BENEFITS</v>
      </c>
      <c r="M8" s="50" t="str">
        <f>"FY "&amp;'FIAA|0229-00'!FiscalYear&amp;"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[0]!FIAA022900col_INC_FTI</f>
        <v>63</v>
      </c>
      <c r="G10" s="218">
        <f>[0]!FIAA022900col_FTI_SALARY_PERM</f>
        <v>4917431.9999999991</v>
      </c>
      <c r="H10" s="218">
        <f>[0]!FIAA022900col_HEALTH_PERM</f>
        <v>787500</v>
      </c>
      <c r="I10" s="218">
        <f>[0]!FIAA022900col_TOT_VB_PERM</f>
        <v>1028200.2032879995</v>
      </c>
      <c r="J10" s="219">
        <f>SUM(G10:I10)</f>
        <v>6733132.2032879982</v>
      </c>
      <c r="K10" s="219">
        <f>[0]!FIAA022900col_1_27TH_PP</f>
        <v>0</v>
      </c>
      <c r="L10" s="218">
        <f>[0]!FIAA022900col_HEALTH_PERM_CHG</f>
        <v>78750</v>
      </c>
      <c r="M10" s="218">
        <f>[0]!FIAA022900col_TOT_VB_PERM_CHG</f>
        <v>-35636.853600000053</v>
      </c>
      <c r="N10" s="218">
        <f>SUM(L10:M10)</f>
        <v>43113.146399999947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49200</v>
      </c>
      <c r="AB10" s="335">
        <f>ROUND(PermVarBen*CECPerm+(CECPerm*PermVarBenChg),-2)</f>
        <v>9900</v>
      </c>
      <c r="AC10" s="335">
        <f>SUM(AA10:AB10)</f>
        <v>59100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[0]!FIAA022900col_Group_Salary</f>
        <v>4620</v>
      </c>
      <c r="H11" s="218">
        <v>0</v>
      </c>
      <c r="I11" s="218">
        <f>[0]!FIAA022900col_Group_Ben</f>
        <v>393.87</v>
      </c>
      <c r="J11" s="219">
        <f>SUM(G11:I11)</f>
        <v>5013.87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[0]!FIAA022900col_TOTAL_ELECT_PCN_FTI</f>
        <v>0</v>
      </c>
      <c r="G12" s="218">
        <f>[0]!FIAA022900col_FTI_SALARY_ELECT</f>
        <v>0</v>
      </c>
      <c r="H12" s="218">
        <f>[0]!FIAA022900col_HEALTH_ELECT</f>
        <v>0</v>
      </c>
      <c r="I12" s="218">
        <f>[0]!FIAA022900col_TOT_VB_ELECT</f>
        <v>0</v>
      </c>
      <c r="J12" s="219">
        <f>SUM(G12:I12)</f>
        <v>0</v>
      </c>
      <c r="K12" s="268"/>
      <c r="L12" s="218">
        <f>[0]!FIAA022900col_HEALTH_ELECT_CHG</f>
        <v>0</v>
      </c>
      <c r="M12" s="218">
        <f>[0]!FIAA022900col_TOT_VB_ELECT_CHG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63</v>
      </c>
      <c r="G13" s="221">
        <f>SUM(G10:G12)</f>
        <v>4922051.9999999991</v>
      </c>
      <c r="H13" s="221">
        <f>SUM(H10:H12)</f>
        <v>787500</v>
      </c>
      <c r="I13" s="221">
        <f>SUM(I10:I12)</f>
        <v>1028594.0732879995</v>
      </c>
      <c r="J13" s="219">
        <f>SUM(G13:I13)</f>
        <v>6738146.0732879983</v>
      </c>
      <c r="K13" s="268"/>
      <c r="L13" s="219">
        <f>SUM(L10:L12)</f>
        <v>78750</v>
      </c>
      <c r="M13" s="219">
        <f>SUM(M10:M12)</f>
        <v>-35636.853600000053</v>
      </c>
      <c r="N13" s="219">
        <f>SUM(N10:N12)</f>
        <v>43113.146399999947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"&amp;'FIAA|0229-00'!FiscalYear-1</f>
        <v>FY 2023</v>
      </c>
      <c r="D15" s="158" t="s">
        <v>31</v>
      </c>
      <c r="E15" s="355">
        <v>7850900</v>
      </c>
      <c r="F15" s="55">
        <v>70</v>
      </c>
      <c r="G15" s="223">
        <f>IF(OrigApprop=0,0,(G13/$J$13)*OrigApprop)</f>
        <v>5734891.7085651243</v>
      </c>
      <c r="H15" s="223">
        <f>IF(OrigApprop=0,0,(H13/$J$13)*OrigApprop)</f>
        <v>917549.67653633817</v>
      </c>
      <c r="I15" s="223">
        <f>IF(G15=0,0,(I13/$J$13)*OrigApprop)</f>
        <v>1198458.6148985378</v>
      </c>
      <c r="J15" s="223">
        <f>SUM(G15:I15)</f>
        <v>7850900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7</v>
      </c>
      <c r="G16" s="162">
        <f>G15-G13</f>
        <v>812839.70856512524</v>
      </c>
      <c r="H16" s="162">
        <f>H15-H13</f>
        <v>130049.67653633817</v>
      </c>
      <c r="I16" s="162">
        <f>I15-I13</f>
        <v>169864.54161053826</v>
      </c>
      <c r="J16" s="162">
        <f>J15-J13</f>
        <v>1112753.9267120017</v>
      </c>
      <c r="K16" s="269"/>
      <c r="L16" s="56" t="str">
        <f>IF('FIAA|0229-00'!OrigApprop=0,"No Original Appropriation amount in DU 3.00 for this fund","Calculated "&amp;IF('FIAA|0229-00'!AdjustedTotal&gt;0,"overfunding ","underfunding ")&amp;"is "&amp;TEXT('FIAA|0229-00'!AdjustedTotal/'FIAA|0229-00'!AppropTotal,"#.0%;(#.0% );0% ;")&amp;" of Original Appropriation")</f>
        <v>Calculated overfunding is 14.2%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63</v>
      </c>
      <c r="G38" s="191">
        <f>SUMIF($E10:$E35,$E38,$G10:$G35)</f>
        <v>4917431.9999999991</v>
      </c>
      <c r="H38" s="192">
        <f>SUMIF($E10:$E35,$E38,$H10:$H35)</f>
        <v>787500</v>
      </c>
      <c r="I38" s="192">
        <f>SUMIF($E10:$E35,$E38,$I10:$I35)</f>
        <v>1028200.2032879995</v>
      </c>
      <c r="J38" s="192">
        <f>SUM(G38:I38)</f>
        <v>6733132.2032879982</v>
      </c>
      <c r="K38" s="166"/>
      <c r="L38" s="191">
        <f>SUMIF($E10:$E35,$E38,$L10:$L35)</f>
        <v>78750</v>
      </c>
      <c r="M38" s="192">
        <f>SUMIF($E10:$E35,$E38,$M10:$M35)</f>
        <v>-35636.853600000053</v>
      </c>
      <c r="N38" s="192">
        <f>SUM(L38:M38)</f>
        <v>43113.146399999947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49200</v>
      </c>
      <c r="AB38" s="338">
        <f>ROUND((AdjPermVB*CECPerm+AdjPermVBBY*CECPerm),-2)</f>
        <v>9900</v>
      </c>
      <c r="AC38" s="338">
        <f>SUM(AA38:AB38)</f>
        <v>59100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4620</v>
      </c>
      <c r="H39" s="152">
        <f>SUMIF($E10:$E35,$E39,$H10:$H35)</f>
        <v>0</v>
      </c>
      <c r="I39" s="152">
        <f>SUMIF($E10:$E35,$E39,$I10:$I35)</f>
        <v>393.87</v>
      </c>
      <c r="J39" s="152">
        <f>SUM(G39:I39)</f>
        <v>5013.87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63</v>
      </c>
      <c r="G41" s="195">
        <f>SUM($G$38:$G$40)</f>
        <v>4922051.9999999991</v>
      </c>
      <c r="H41" s="162">
        <f>SUM($H$38:$H$40)</f>
        <v>787500</v>
      </c>
      <c r="I41" s="162">
        <f>SUM($I$38:$I$40)</f>
        <v>1028594.0732879995</v>
      </c>
      <c r="J41" s="162">
        <f>SUM($J$38:$J$40)</f>
        <v>6738146.0732879983</v>
      </c>
      <c r="K41" s="259"/>
      <c r="L41" s="195">
        <f>SUM($L$38:$L$40)</f>
        <v>78750</v>
      </c>
      <c r="M41" s="162">
        <f>SUM($M$38:$M$40)</f>
        <v>-35636.853600000053</v>
      </c>
      <c r="N41" s="162">
        <f>SUM(L41:M41)</f>
        <v>43113.146399999947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7</v>
      </c>
      <c r="G43" s="206">
        <f>G51-G41</f>
        <v>812839.70856512524</v>
      </c>
      <c r="H43" s="159">
        <f>H51-H41</f>
        <v>130049.67653633817</v>
      </c>
      <c r="I43" s="159">
        <f>I51-I41</f>
        <v>169864.54161053826</v>
      </c>
      <c r="J43" s="159">
        <f>SUM(G43:I43)</f>
        <v>1112753.9267120017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14.2%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7</v>
      </c>
      <c r="G44" s="206">
        <f>G60-G41</f>
        <v>812848.00000000093</v>
      </c>
      <c r="H44" s="159">
        <f>H60-H41</f>
        <v>130000</v>
      </c>
      <c r="I44" s="159">
        <f>I60-I41</f>
        <v>169905.92671200051</v>
      </c>
      <c r="J44" s="159">
        <f>SUM(G44:I44)</f>
        <v>1112753.9267120014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14.2%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7</v>
      </c>
      <c r="G45" s="206">
        <f>G67-G41-G63</f>
        <v>812848.00000000093</v>
      </c>
      <c r="H45" s="206">
        <f>H67-H41-H63</f>
        <v>130000</v>
      </c>
      <c r="I45" s="206">
        <f>I67-I41-I63</f>
        <v>169905.92671200051</v>
      </c>
      <c r="J45" s="159">
        <f>SUM(G45:I45)</f>
        <v>1112753.9267120014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14.2%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7850900</v>
      </c>
      <c r="F51" s="272">
        <f>AppropFTP</f>
        <v>70</v>
      </c>
      <c r="G51" s="274">
        <f>IF(E51=0,0,(G41/$J$41)*$E$51)</f>
        <v>5734891.7085651243</v>
      </c>
      <c r="H51" s="274">
        <f>IF(E51=0,0,(H41/$J$41)*$E$51)</f>
        <v>917549.67653633817</v>
      </c>
      <c r="I51" s="275">
        <f>IF(E51=0,0,(I41/$J$41)*$E$51)</f>
        <v>1198458.6148985378</v>
      </c>
      <c r="J51" s="90">
        <f>SUM(G51:I51)</f>
        <v>7850900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70</v>
      </c>
      <c r="G52" s="79">
        <f>ROUND(G51,-2)</f>
        <v>5734900</v>
      </c>
      <c r="H52" s="79">
        <f>ROUND(H51,-2)</f>
        <v>917500</v>
      </c>
      <c r="I52" s="266">
        <f>ROUND(I51,-2)</f>
        <v>1198500</v>
      </c>
      <c r="J52" s="80">
        <f>ROUND(J51,-2)</f>
        <v>7850900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70</v>
      </c>
      <c r="G56" s="80">
        <f>SUM(G52:G55)</f>
        <v>5734900</v>
      </c>
      <c r="H56" s="80">
        <f>SUM(H52:H55)</f>
        <v>917500</v>
      </c>
      <c r="I56" s="260">
        <f>SUM(I52:I55)</f>
        <v>1198500</v>
      </c>
      <c r="J56" s="80">
        <f>SUM(J52:J55)</f>
        <v>7850900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70</v>
      </c>
      <c r="G60" s="80">
        <f>SUM(G56:G59)</f>
        <v>5734900</v>
      </c>
      <c r="H60" s="80">
        <f>SUM(H56:H59)</f>
        <v>917500</v>
      </c>
      <c r="I60" s="260">
        <f>SUM(I56:I59)</f>
        <v>1198500</v>
      </c>
      <c r="J60" s="80">
        <f>SUM(J56:J59)</f>
        <v>7850900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70</v>
      </c>
      <c r="G67" s="80">
        <f>SUM(G60:G64)</f>
        <v>5734900</v>
      </c>
      <c r="H67" s="80">
        <f>SUM(H60:H64)</f>
        <v>917500</v>
      </c>
      <c r="I67" s="80">
        <f>SUM(I60:I64)</f>
        <v>1198500</v>
      </c>
      <c r="J67" s="80">
        <f>SUM(J60:J64)</f>
        <v>7850900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78800</v>
      </c>
      <c r="I68" s="113"/>
      <c r="J68" s="287">
        <f>SUM(G68:I68)</f>
        <v>78800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-35600</v>
      </c>
      <c r="J69" s="287">
        <f>SUM(G69:I69)</f>
        <v>-35600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49200</v>
      </c>
      <c r="H72" s="287"/>
      <c r="I72" s="287">
        <f>ROUND(($G72*PermVBBY+$G72*Retire1BY),-2)</f>
        <v>10000</v>
      </c>
      <c r="J72" s="113">
        <f>SUM(G72:I72)</f>
        <v>59200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70</v>
      </c>
      <c r="G75" s="80">
        <f>SUM(G67:G74)</f>
        <v>5784100</v>
      </c>
      <c r="H75" s="80">
        <f>SUM(H67:H74)</f>
        <v>996300</v>
      </c>
      <c r="I75" s="80">
        <f>SUM(I67:I74)</f>
        <v>1172900</v>
      </c>
      <c r="J75" s="80">
        <f>SUM(J67:K74)</f>
        <v>7953300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70</v>
      </c>
      <c r="G80" s="80">
        <f>SUM(G75:G79)</f>
        <v>5784100</v>
      </c>
      <c r="H80" s="80">
        <f>SUM(H75:H79)</f>
        <v>996300</v>
      </c>
      <c r="I80" s="80">
        <f>SUM(I75:I79)</f>
        <v>1172900</v>
      </c>
      <c r="J80" s="80">
        <f>SUM(J75:J79)</f>
        <v>7953300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AE40D-4EB1-443F-915A-EC92F2CCADF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4A5E-297A-4D30-97D7-1619EE0DB5A5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586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250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586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595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586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593</v>
      </c>
      <c r="J5" s="474"/>
      <c r="K5" s="474"/>
      <c r="L5" s="473"/>
      <c r="M5" s="352" t="s">
        <v>113</v>
      </c>
      <c r="N5" s="32" t="s">
        <v>594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"&amp;'FIAA|0325-27'!FiscalYear-1&amp;" SALARY"</f>
        <v>FY 2023 SALARY</v>
      </c>
      <c r="H8" s="50" t="str">
        <f>"FY "&amp;'FIAA|0325-27'!FiscalYear-1&amp;" HEALTH BENEFITS"</f>
        <v>FY 2023 HEALTH BENEFITS</v>
      </c>
      <c r="I8" s="50" t="str">
        <f>"FY "&amp;'FIAA|0325-27'!FiscalYear-1&amp;" VAR BENEFITS"</f>
        <v>FY 2023 VAR BENEFITS</v>
      </c>
      <c r="J8" s="50" t="str">
        <f>"FY "&amp;'FIAA|0325-27'!FiscalYear-1&amp;" TOTAL"</f>
        <v>FY 2023 TOTAL</v>
      </c>
      <c r="K8" s="50" t="str">
        <f>"FY "&amp;'FIAA|0325-27'!FiscalYear&amp;" SALARY CHANGE"</f>
        <v>FY 2024 SALARY CHANGE</v>
      </c>
      <c r="L8" s="50" t="str">
        <f>"FY "&amp;'FIAA|0325-27'!FiscalYear&amp;" CHG HEALTH BENEFITS"</f>
        <v>FY 2024 CHG HEALTH BENEFITS</v>
      </c>
      <c r="M8" s="50" t="str">
        <f>"FY "&amp;'FIAA|0325-27'!FiscalYear&amp;"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[0]!FIAA032527col_INC_FTI</f>
        <v>0</v>
      </c>
      <c r="G10" s="218">
        <f>[0]!FIAA032527col_FTI_SALARY_PERM</f>
        <v>0</v>
      </c>
      <c r="H10" s="218">
        <f>[0]!FIAA032527col_HEALTH_PERM</f>
        <v>0</v>
      </c>
      <c r="I10" s="218">
        <f>[0]!FIAA032527col_TOT_VB_PERM</f>
        <v>0</v>
      </c>
      <c r="J10" s="219">
        <f>SUM(G10:I10)</f>
        <v>0</v>
      </c>
      <c r="K10" s="219">
        <f>[0]!FIAA032527col_1_27TH_PP</f>
        <v>0</v>
      </c>
      <c r="L10" s="218">
        <f>[0]!FIAA032527col_HEALTH_PERM_CHG</f>
        <v>0</v>
      </c>
      <c r="M10" s="218">
        <f>[0]!FIAA032527col_TOT_VB_PERM_CHG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[0]!FIAA032527col_Group_Salary</f>
        <v>0</v>
      </c>
      <c r="H11" s="218">
        <v>0</v>
      </c>
      <c r="I11" s="218">
        <f>[0]!FIAA032527col_Group_Ben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[0]!FIAA032527col_TOTAL_ELECT_PCN_FTI</f>
        <v>0</v>
      </c>
      <c r="G12" s="218">
        <f>[0]!FIAA032527col_FTI_SALARY_ELECT</f>
        <v>0</v>
      </c>
      <c r="H12" s="218">
        <f>[0]!FIAA032527col_HEALTH_ELECT</f>
        <v>0</v>
      </c>
      <c r="I12" s="218">
        <f>[0]!FIAA032527col_TOT_VB_ELECT</f>
        <v>0</v>
      </c>
      <c r="J12" s="219">
        <f>SUM(G12:I12)</f>
        <v>0</v>
      </c>
      <c r="K12" s="268"/>
      <c r="L12" s="218">
        <f>[0]!FIAA032527col_HEALTH_ELECT_CHG</f>
        <v>0</v>
      </c>
      <c r="M12" s="218">
        <f>[0]!FIAA032527col_TOT_VB_ELECT_CHG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"&amp;'FIAA|0325-27'!FiscalYear-1</f>
        <v>FY 2023</v>
      </c>
      <c r="D15" s="158" t="s">
        <v>31</v>
      </c>
      <c r="E15" s="355">
        <v>50000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IF('FIAA|0325-27'!OrigApprop=0,"No Original Appropriation amount in DU 3.00 for this fund","Calculated "&amp;IF('FIAA|0325-27'!AdjustedTotal&gt;0,"overfunding ","underfunding ")&amp;"is "&amp;TEXT('FIAA|0325-27'!AdjustedTotal/'FIAA|0325-27'!AppropTotal,"#.0%;(#.0%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7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7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7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50000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6BBDBD-3EDD-46B6-80E1-E72EC008B98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N101"/>
  <sheetViews>
    <sheetView workbookViewId="0">
      <pane xSplit="3" ySplit="1" topLeftCell="AX75" activePane="bottomRight" state="frozen"/>
      <selection pane="topRight" activeCell="D1" sqref="D1"/>
      <selection pane="bottomLeft" activeCell="A2" sqref="A2"/>
      <selection pane="bottomRight" activeCell="AS90" sqref="AS90:BA101"/>
    </sheetView>
  </sheetViews>
  <sheetFormatPr defaultRowHeight="15" x14ac:dyDescent="0.25"/>
  <cols>
    <col min="45" max="53" width="15.7109375" customWidth="1"/>
    <col min="54" max="54" width="12" bestFit="1" customWidth="1"/>
    <col min="55" max="55" width="9.28515625" bestFit="1" customWidth="1"/>
    <col min="56" max="56" width="12" bestFit="1" customWidth="1"/>
    <col min="57" max="57" width="10.85546875" bestFit="1" customWidth="1"/>
    <col min="58" max="58" width="12" bestFit="1" customWidth="1"/>
    <col min="59" max="59" width="10.85546875" bestFit="1" customWidth="1"/>
    <col min="60" max="60" width="9.28515625" bestFit="1" customWidth="1"/>
    <col min="61" max="61" width="10.85546875" bestFit="1" customWidth="1"/>
    <col min="62" max="62" width="9.7109375" bestFit="1" customWidth="1"/>
    <col min="63" max="63" width="9.28515625" bestFit="1" customWidth="1"/>
    <col min="64" max="64" width="13.85546875" bestFit="1" customWidth="1"/>
    <col min="65" max="65" width="9.28515625" bestFit="1" customWidth="1"/>
    <col min="66" max="66" width="12" bestFit="1" customWidth="1"/>
    <col min="67" max="67" width="9.28515625" bestFit="1" customWidth="1"/>
    <col min="68" max="68" width="12" bestFit="1" customWidth="1"/>
    <col min="69" max="69" width="10.85546875" bestFit="1" customWidth="1"/>
    <col min="70" max="70" width="12" bestFit="1" customWidth="1"/>
    <col min="71" max="71" width="10.85546875" bestFit="1" customWidth="1"/>
    <col min="72" max="72" width="9.28515625" bestFit="1" customWidth="1"/>
    <col min="73" max="73" width="10.85546875" bestFit="1" customWidth="1"/>
    <col min="74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9.710937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536</v>
      </c>
      <c r="AT1" s="386" t="s">
        <v>537</v>
      </c>
      <c r="AU1" s="386" t="s">
        <v>538</v>
      </c>
      <c r="AV1" s="386" t="s">
        <v>539</v>
      </c>
      <c r="AW1" s="386" t="s">
        <v>540</v>
      </c>
      <c r="AX1" s="386" t="s">
        <v>541</v>
      </c>
      <c r="AY1" s="386" t="s">
        <v>542</v>
      </c>
      <c r="AZ1" s="386" t="s">
        <v>543</v>
      </c>
      <c r="BA1" s="388" t="s">
        <v>544</v>
      </c>
      <c r="BB1" s="389" t="s">
        <v>545</v>
      </c>
      <c r="BC1" s="389" t="s">
        <v>546</v>
      </c>
      <c r="BD1" s="389" t="s">
        <v>547</v>
      </c>
      <c r="BE1" s="389" t="s">
        <v>548</v>
      </c>
      <c r="BF1" s="389" t="s">
        <v>549</v>
      </c>
      <c r="BG1" s="389" t="s">
        <v>550</v>
      </c>
      <c r="BH1" s="389" t="s">
        <v>551</v>
      </c>
      <c r="BI1" s="389" t="s">
        <v>552</v>
      </c>
      <c r="BJ1" s="389" t="s">
        <v>553</v>
      </c>
      <c r="BK1" s="389" t="s">
        <v>554</v>
      </c>
      <c r="BL1" s="390" t="s">
        <v>555</v>
      </c>
      <c r="BM1" s="390" t="s">
        <v>556</v>
      </c>
      <c r="BN1" s="389" t="s">
        <v>557</v>
      </c>
      <c r="BO1" s="389" t="s">
        <v>558</v>
      </c>
      <c r="BP1" s="389" t="s">
        <v>559</v>
      </c>
      <c r="BQ1" s="389" t="s">
        <v>560</v>
      </c>
      <c r="BR1" s="389" t="s">
        <v>561</v>
      </c>
      <c r="BS1" s="389" t="s">
        <v>562</v>
      </c>
      <c r="BT1" s="389" t="s">
        <v>563</v>
      </c>
      <c r="BU1" s="389" t="s">
        <v>564</v>
      </c>
      <c r="BV1" s="389" t="s">
        <v>565</v>
      </c>
      <c r="BW1" s="389" t="s">
        <v>566</v>
      </c>
      <c r="BX1" s="390" t="s">
        <v>567</v>
      </c>
      <c r="BY1" s="390" t="s">
        <v>568</v>
      </c>
      <c r="BZ1" s="389" t="s">
        <v>569</v>
      </c>
      <c r="CA1" s="389" t="s">
        <v>570</v>
      </c>
      <c r="CB1" s="389" t="s">
        <v>571</v>
      </c>
      <c r="CC1" s="389" t="s">
        <v>572</v>
      </c>
      <c r="CD1" s="389" t="s">
        <v>573</v>
      </c>
      <c r="CE1" s="389" t="s">
        <v>574</v>
      </c>
      <c r="CF1" s="389" t="s">
        <v>575</v>
      </c>
      <c r="CG1" s="389" t="s">
        <v>576</v>
      </c>
      <c r="CH1" s="389" t="s">
        <v>577</v>
      </c>
      <c r="CI1" s="389" t="s">
        <v>578</v>
      </c>
      <c r="CJ1" s="390" t="s">
        <v>579</v>
      </c>
      <c r="CK1" s="390" t="s">
        <v>580</v>
      </c>
      <c r="CL1" s="391" t="s">
        <v>581</v>
      </c>
      <c r="CM1" s="391" t="s">
        <v>582</v>
      </c>
      <c r="CN1" s="391" t="s">
        <v>583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5">
        <v>1</v>
      </c>
      <c r="Q2" s="385">
        <v>1</v>
      </c>
      <c r="R2" s="381">
        <v>80</v>
      </c>
      <c r="S2" s="385">
        <v>1</v>
      </c>
      <c r="T2" s="381">
        <v>76713.649999999994</v>
      </c>
      <c r="U2" s="381">
        <v>0</v>
      </c>
      <c r="V2" s="381">
        <v>27727.53</v>
      </c>
      <c r="W2" s="381">
        <v>80745.600000000006</v>
      </c>
      <c r="X2" s="381">
        <v>29428.26</v>
      </c>
      <c r="Y2" s="381">
        <v>80745.600000000006</v>
      </c>
      <c r="Z2" s="381">
        <v>30088.82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38.82</v>
      </c>
      <c r="AI2" s="382">
        <v>13075.5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5">
        <v>1</v>
      </c>
      <c r="AQ2" s="385">
        <v>1</v>
      </c>
      <c r="AR2" s="383" t="s">
        <v>184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IF(AT2=0,"",IF(AND(AT2=1,M2="F",SUMIF(C2:C76,C2,AS2:AS76)&lt;=1),SUMIF(C2:C76,C2,AS2:AS76),IF(AND(AT2=1,M2="F",SUMIF(C2:C76,C2,AS2:AS76)&gt;1),1,"")))</f>
        <v>1</v>
      </c>
      <c r="AV2" s="387" t="str">
        <f>IF(AT2=0,"",IF(AND(AT2=3,M2="F",SUMIF(C2:C76,C2,AS2:AS76)&lt;=1),SUMIF(C2:C76,C2,AS2:AS76),IF(AND(AT2=3,M2="F",SUMIF(C2:C76,C2,AS2:AS76)&gt;1),1,"")))</f>
        <v/>
      </c>
      <c r="AW2" s="387">
        <f>SUMIF(C2:C76,C2,O2:O76)</f>
        <v>1</v>
      </c>
      <c r="AX2" s="387">
        <f>IF(AND(M2="F",AS2&lt;&gt;0),SUMIF(C2:C76,C2,W2:W76),0)</f>
        <v>80745.600000000006</v>
      </c>
      <c r="AY2" s="387">
        <f>IF(AT2=1,W2,"")</f>
        <v>80745.600000000006</v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12500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5006.2272000000003</v>
      </c>
      <c r="BE2" s="387">
        <f t="shared" ref="BE2:BE33" si="3">IF(AT2&lt;&gt;0,SSHI*W2,0)</f>
        <v>1170.8112000000001</v>
      </c>
      <c r="BF2" s="387">
        <f t="shared" ref="BF2:BF33" si="4">IF(AND(AT2&lt;&gt;0,AN2&lt;&gt;"NE"),VLOOKUP(AN2,Retirement_Rates,3,FALSE)*W2,0)</f>
        <v>9641.0246400000015</v>
      </c>
      <c r="BG2" s="387">
        <f t="shared" ref="BG2:BG33" si="5">IF(AND(AT2&lt;&gt;0,AJ2&lt;&gt;"PF"),Life*W2,0)</f>
        <v>582.17577600000004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446.92689600000006</v>
      </c>
      <c r="BJ2" s="387">
        <f t="shared" ref="BJ2:BJ33" si="8">IF(AT2&lt;&gt;0,WC*W2,0)</f>
        <v>80.74560000000001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16927.911312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13750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5006.2272000000003</v>
      </c>
      <c r="BQ2" s="387">
        <f t="shared" ref="BQ2:BQ33" si="13">IF(AT2&lt;&gt;0,SSHIBY*W2,0)</f>
        <v>1170.8112000000001</v>
      </c>
      <c r="BR2" s="387">
        <f t="shared" ref="BR2:BR33" si="14">IF(AND(AT2&lt;&gt;0,AN2&lt;&gt;"NE"),VLOOKUP(AN2,Retirement_Rates,4,FALSE)*W2,0)</f>
        <v>9027.35808</v>
      </c>
      <c r="BS2" s="387">
        <f t="shared" ref="BS2:BS33" si="15">IF(AND(AT2&lt;&gt;0,AJ2&lt;&gt;"PF"),LifeBY*W2,0)</f>
        <v>582.17577600000004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446.92689600000006</v>
      </c>
      <c r="BV2" s="387">
        <f t="shared" ref="BV2:BV33" si="18">IF(AT2&lt;&gt;0,WCBY*W2,0)</f>
        <v>104.96928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16338.468432</v>
      </c>
      <c r="BY2" s="387">
        <f>IF(AT2=3,SUM(BP2:BW2),0)</f>
        <v>0</v>
      </c>
      <c r="BZ2" s="387">
        <f>IF(AT2=1,BN2-BB2,0)</f>
        <v>1250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-613.6665600000008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24.223679999999995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-589.44288000000086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0229-00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165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186</v>
      </c>
      <c r="K3" s="377" t="s">
        <v>170</v>
      </c>
      <c r="L3" s="377" t="s">
        <v>171</v>
      </c>
      <c r="M3" s="377" t="s">
        <v>187</v>
      </c>
      <c r="N3" s="377" t="s">
        <v>173</v>
      </c>
      <c r="O3" s="380">
        <v>0</v>
      </c>
      <c r="P3" s="385">
        <v>1</v>
      </c>
      <c r="Q3" s="385">
        <v>1</v>
      </c>
      <c r="R3" s="381">
        <v>80</v>
      </c>
      <c r="S3" s="385">
        <v>1</v>
      </c>
      <c r="T3" s="381">
        <v>54711.16</v>
      </c>
      <c r="U3" s="381">
        <v>0</v>
      </c>
      <c r="V3" s="381">
        <v>20898.79</v>
      </c>
      <c r="W3" s="381">
        <v>62275.199999999997</v>
      </c>
      <c r="X3" s="381">
        <v>28023.84</v>
      </c>
      <c r="Y3" s="381">
        <v>62275.199999999997</v>
      </c>
      <c r="Z3" s="381">
        <v>29020.240000000002</v>
      </c>
      <c r="AA3" s="379"/>
      <c r="AB3" s="377" t="s">
        <v>45</v>
      </c>
      <c r="AC3" s="377" t="s">
        <v>45</v>
      </c>
      <c r="AD3" s="379"/>
      <c r="AE3" s="379"/>
      <c r="AF3" s="379"/>
      <c r="AG3" s="379"/>
      <c r="AH3" s="380">
        <v>0</v>
      </c>
      <c r="AI3" s="380">
        <v>0</v>
      </c>
      <c r="AJ3" s="379"/>
      <c r="AK3" s="379"/>
      <c r="AL3" s="377" t="s">
        <v>182</v>
      </c>
      <c r="AM3" s="379"/>
      <c r="AN3" s="379"/>
      <c r="AO3" s="380">
        <v>0</v>
      </c>
      <c r="AP3" s="385">
        <v>0</v>
      </c>
      <c r="AQ3" s="385">
        <v>0</v>
      </c>
      <c r="AR3" s="384"/>
      <c r="AS3" s="387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7" t="str">
        <f>IF(AT3=0,"",IF(AND(AT3=1,M3="F",SUMIF(C2:C76,C3,AS2:AS76)&lt;=1),SUMIF(C2:C76,C3,AS2:AS76),IF(AND(AT3=1,M3="F",SUMIF(C2:C76,C3,AS2:AS76)&gt;1),1,"")))</f>
        <v/>
      </c>
      <c r="AV3" s="387" t="str">
        <f>IF(AT3=0,"",IF(AND(AT3=3,M3="F",SUMIF(C2:C76,C3,AS2:AS76)&lt;=1),SUMIF(C2:C76,C3,AS2:AS76),IF(AND(AT3=3,M3="F",SUMIF(C2:C76,C3,AS2:AS76)&gt;1),1,"")))</f>
        <v/>
      </c>
      <c r="AW3" s="387">
        <f>SUMIF(C2:C76,C3,O2:O76)</f>
        <v>0</v>
      </c>
      <c r="AX3" s="387">
        <f>IF(AND(M3="F",AS3&lt;&gt;0),SUMIF(C2:C76,C3,W2:W76),0)</f>
        <v>0</v>
      </c>
      <c r="AY3" s="387" t="str">
        <f t="shared" ref="AY3:AY66" si="29">IF(AT3=1,W3,"")</f>
        <v/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0</v>
      </c>
      <c r="BC3" s="387">
        <f t="shared" si="1"/>
        <v>0</v>
      </c>
      <c r="BD3" s="387">
        <f t="shared" si="2"/>
        <v>0</v>
      </c>
      <c r="BE3" s="387">
        <f t="shared" si="3"/>
        <v>0</v>
      </c>
      <c r="BF3" s="387">
        <f t="shared" si="4"/>
        <v>0</v>
      </c>
      <c r="BG3" s="387">
        <f t="shared" si="5"/>
        <v>0</v>
      </c>
      <c r="BH3" s="387">
        <f t="shared" si="6"/>
        <v>0</v>
      </c>
      <c r="BI3" s="387">
        <f t="shared" si="7"/>
        <v>0</v>
      </c>
      <c r="BJ3" s="387">
        <f t="shared" si="8"/>
        <v>0</v>
      </c>
      <c r="BK3" s="387">
        <f t="shared" si="9"/>
        <v>0</v>
      </c>
      <c r="BL3" s="387">
        <f t="shared" ref="BL3:BL66" si="32">IF(AT3=1,SUM(BD3:BK3),0)</f>
        <v>0</v>
      </c>
      <c r="BM3" s="387">
        <f t="shared" ref="BM3:BM66" si="33">IF(AT3=3,SUM(BD3:BK3),0)</f>
        <v>0</v>
      </c>
      <c r="BN3" s="387">
        <f t="shared" si="10"/>
        <v>0</v>
      </c>
      <c r="BO3" s="387">
        <f t="shared" si="11"/>
        <v>0</v>
      </c>
      <c r="BP3" s="387">
        <f t="shared" si="12"/>
        <v>0</v>
      </c>
      <c r="BQ3" s="387">
        <f t="shared" si="13"/>
        <v>0</v>
      </c>
      <c r="BR3" s="387">
        <f t="shared" si="14"/>
        <v>0</v>
      </c>
      <c r="BS3" s="387">
        <f t="shared" si="15"/>
        <v>0</v>
      </c>
      <c r="BT3" s="387">
        <f t="shared" si="16"/>
        <v>0</v>
      </c>
      <c r="BU3" s="387">
        <f t="shared" si="17"/>
        <v>0</v>
      </c>
      <c r="BV3" s="387">
        <f t="shared" si="18"/>
        <v>0</v>
      </c>
      <c r="BW3" s="387">
        <f t="shared" si="19"/>
        <v>0</v>
      </c>
      <c r="BX3" s="387">
        <f t="shared" ref="BX3:BX66" si="34">IF(AT3=1,SUM(BP3:BW3),0)</f>
        <v>0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0</v>
      </c>
      <c r="CI3" s="387">
        <f t="shared" si="26"/>
        <v>0</v>
      </c>
      <c r="CJ3" s="387">
        <f t="shared" ref="CJ3:CJ66" si="39">IF(AT3=1,SUM(CB3:CI3),0)</f>
        <v>0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0229-00</v>
      </c>
    </row>
    <row r="4" spans="1:92" ht="15.75" thickBot="1" x14ac:dyDescent="0.3">
      <c r="A4" s="377" t="s">
        <v>162</v>
      </c>
      <c r="B4" s="377" t="s">
        <v>163</v>
      </c>
      <c r="C4" s="377" t="s">
        <v>188</v>
      </c>
      <c r="D4" s="377" t="s">
        <v>189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186</v>
      </c>
      <c r="K4" s="377" t="s">
        <v>190</v>
      </c>
      <c r="L4" s="377" t="s">
        <v>191</v>
      </c>
      <c r="M4" s="377" t="s">
        <v>172</v>
      </c>
      <c r="N4" s="377" t="s">
        <v>173</v>
      </c>
      <c r="O4" s="380">
        <v>1</v>
      </c>
      <c r="P4" s="385">
        <v>1</v>
      </c>
      <c r="Q4" s="385">
        <v>1</v>
      </c>
      <c r="R4" s="381">
        <v>80</v>
      </c>
      <c r="S4" s="385">
        <v>1</v>
      </c>
      <c r="T4" s="381">
        <v>91726.41</v>
      </c>
      <c r="U4" s="381">
        <v>0</v>
      </c>
      <c r="V4" s="381">
        <v>31049.05</v>
      </c>
      <c r="W4" s="381">
        <v>95846.399999999994</v>
      </c>
      <c r="X4" s="381">
        <v>32594.17</v>
      </c>
      <c r="Y4" s="381">
        <v>95846.399999999994</v>
      </c>
      <c r="Z4" s="381">
        <v>33144.49</v>
      </c>
      <c r="AA4" s="377" t="s">
        <v>192</v>
      </c>
      <c r="AB4" s="377" t="s">
        <v>193</v>
      </c>
      <c r="AC4" s="377" t="s">
        <v>194</v>
      </c>
      <c r="AD4" s="377" t="s">
        <v>195</v>
      </c>
      <c r="AE4" s="377" t="s">
        <v>190</v>
      </c>
      <c r="AF4" s="377" t="s">
        <v>196</v>
      </c>
      <c r="AG4" s="377" t="s">
        <v>179</v>
      </c>
      <c r="AH4" s="382">
        <v>46.08</v>
      </c>
      <c r="AI4" s="382">
        <v>10300.9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5">
        <v>1</v>
      </c>
      <c r="AQ4" s="385">
        <v>1</v>
      </c>
      <c r="AR4" s="383" t="s">
        <v>184</v>
      </c>
      <c r="AS4" s="387">
        <f t="shared" si="27"/>
        <v>1</v>
      </c>
      <c r="AT4">
        <f t="shared" si="28"/>
        <v>1</v>
      </c>
      <c r="AU4" s="387">
        <f>IF(AT4=0,"",IF(AND(AT4=1,M4="F",SUMIF(C2:C76,C4,AS2:AS76)&lt;=1),SUMIF(C2:C76,C4,AS2:AS76),IF(AND(AT4=1,M4="F",SUMIF(C2:C76,C4,AS2:AS76)&gt;1),1,"")))</f>
        <v>1</v>
      </c>
      <c r="AV4" s="387" t="str">
        <f>IF(AT4=0,"",IF(AND(AT4=3,M4="F",SUMIF(C2:C76,C4,AS2:AS76)&lt;=1),SUMIF(C2:C76,C4,AS2:AS76),IF(AND(AT4=3,M4="F",SUMIF(C2:C76,C4,AS2:AS76)&gt;1),1,"")))</f>
        <v/>
      </c>
      <c r="AW4" s="387">
        <f>SUMIF(C2:C76,C4,O2:O76)</f>
        <v>1</v>
      </c>
      <c r="AX4" s="387">
        <f>IF(AND(M4="F",AS4&lt;&gt;0),SUMIF(C2:C76,C4,W2:W76),0)</f>
        <v>95846.399999999994</v>
      </c>
      <c r="AY4" s="387">
        <f t="shared" si="29"/>
        <v>95846.399999999994</v>
      </c>
      <c r="AZ4" s="387" t="str">
        <f t="shared" si="30"/>
        <v/>
      </c>
      <c r="BA4" s="387">
        <f t="shared" si="31"/>
        <v>0</v>
      </c>
      <c r="BB4" s="387">
        <f t="shared" si="0"/>
        <v>12500</v>
      </c>
      <c r="BC4" s="387">
        <f t="shared" si="1"/>
        <v>0</v>
      </c>
      <c r="BD4" s="387">
        <f t="shared" si="2"/>
        <v>5942.4767999999995</v>
      </c>
      <c r="BE4" s="387">
        <f t="shared" si="3"/>
        <v>1389.7728</v>
      </c>
      <c r="BF4" s="387">
        <f t="shared" si="4"/>
        <v>11444.060159999999</v>
      </c>
      <c r="BG4" s="387">
        <f t="shared" si="5"/>
        <v>691.05254400000001</v>
      </c>
      <c r="BH4" s="387">
        <f t="shared" si="6"/>
        <v>0</v>
      </c>
      <c r="BI4" s="387">
        <f t="shared" si="7"/>
        <v>530.50982399999998</v>
      </c>
      <c r="BJ4" s="387">
        <f t="shared" si="8"/>
        <v>95.846400000000003</v>
      </c>
      <c r="BK4" s="387">
        <f t="shared" si="9"/>
        <v>0</v>
      </c>
      <c r="BL4" s="387">
        <f t="shared" si="32"/>
        <v>20093.718527999994</v>
      </c>
      <c r="BM4" s="387">
        <f t="shared" si="33"/>
        <v>0</v>
      </c>
      <c r="BN4" s="387">
        <f t="shared" si="10"/>
        <v>13750</v>
      </c>
      <c r="BO4" s="387">
        <f t="shared" si="11"/>
        <v>0</v>
      </c>
      <c r="BP4" s="387">
        <f t="shared" si="12"/>
        <v>5942.4767999999995</v>
      </c>
      <c r="BQ4" s="387">
        <f t="shared" si="13"/>
        <v>1389.7728</v>
      </c>
      <c r="BR4" s="387">
        <f t="shared" si="14"/>
        <v>10715.627519999998</v>
      </c>
      <c r="BS4" s="387">
        <f t="shared" si="15"/>
        <v>691.05254400000001</v>
      </c>
      <c r="BT4" s="387">
        <f t="shared" si="16"/>
        <v>0</v>
      </c>
      <c r="BU4" s="387">
        <f t="shared" si="17"/>
        <v>530.50982399999998</v>
      </c>
      <c r="BV4" s="387">
        <f t="shared" si="18"/>
        <v>124.60031999999998</v>
      </c>
      <c r="BW4" s="387">
        <f t="shared" si="19"/>
        <v>0</v>
      </c>
      <c r="BX4" s="387">
        <f t="shared" si="34"/>
        <v>19394.039807999998</v>
      </c>
      <c r="BY4" s="387">
        <f t="shared" si="35"/>
        <v>0</v>
      </c>
      <c r="BZ4" s="387">
        <f t="shared" si="36"/>
        <v>1250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-728.4326400000009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28.75391999999999</v>
      </c>
      <c r="CI4" s="387">
        <f t="shared" si="26"/>
        <v>0</v>
      </c>
      <c r="CJ4" s="387">
        <f t="shared" si="39"/>
        <v>-699.67872000000091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0229-00</v>
      </c>
    </row>
    <row r="5" spans="1:92" ht="15.75" thickBot="1" x14ac:dyDescent="0.3">
      <c r="A5" s="377" t="s">
        <v>162</v>
      </c>
      <c r="B5" s="377" t="s">
        <v>163</v>
      </c>
      <c r="C5" s="377" t="s">
        <v>197</v>
      </c>
      <c r="D5" s="377" t="s">
        <v>189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186</v>
      </c>
      <c r="K5" s="377" t="s">
        <v>198</v>
      </c>
      <c r="L5" s="377" t="s">
        <v>199</v>
      </c>
      <c r="M5" s="377" t="s">
        <v>172</v>
      </c>
      <c r="N5" s="377" t="s">
        <v>173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115859.21</v>
      </c>
      <c r="U5" s="381">
        <v>0</v>
      </c>
      <c r="V5" s="381">
        <v>36284.82</v>
      </c>
      <c r="W5" s="381">
        <v>115939.2</v>
      </c>
      <c r="X5" s="381">
        <v>36806.629999999997</v>
      </c>
      <c r="Y5" s="381">
        <v>115939.2</v>
      </c>
      <c r="Z5" s="381">
        <v>37210.28</v>
      </c>
      <c r="AA5" s="377" t="s">
        <v>200</v>
      </c>
      <c r="AB5" s="377" t="s">
        <v>201</v>
      </c>
      <c r="AC5" s="377" t="s">
        <v>202</v>
      </c>
      <c r="AD5" s="377" t="s">
        <v>203</v>
      </c>
      <c r="AE5" s="377" t="s">
        <v>198</v>
      </c>
      <c r="AF5" s="377" t="s">
        <v>204</v>
      </c>
      <c r="AG5" s="377" t="s">
        <v>179</v>
      </c>
      <c r="AH5" s="382">
        <v>55.74</v>
      </c>
      <c r="AI5" s="382">
        <v>39677.5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5">
        <v>1</v>
      </c>
      <c r="AQ5" s="385">
        <v>1</v>
      </c>
      <c r="AR5" s="383" t="s">
        <v>184</v>
      </c>
      <c r="AS5" s="387">
        <f t="shared" si="27"/>
        <v>1</v>
      </c>
      <c r="AT5">
        <f t="shared" si="28"/>
        <v>1</v>
      </c>
      <c r="AU5" s="387">
        <f>IF(AT5=0,"",IF(AND(AT5=1,M5="F",SUMIF(C2:C76,C5,AS2:AS76)&lt;=1),SUMIF(C2:C76,C5,AS2:AS76),IF(AND(AT5=1,M5="F",SUMIF(C2:C76,C5,AS2:AS76)&gt;1),1,"")))</f>
        <v>1</v>
      </c>
      <c r="AV5" s="387" t="str">
        <f>IF(AT5=0,"",IF(AND(AT5=3,M5="F",SUMIF(C2:C76,C5,AS2:AS76)&lt;=1),SUMIF(C2:C76,C5,AS2:AS76),IF(AND(AT5=3,M5="F",SUMIF(C2:C76,C5,AS2:AS76)&gt;1),1,"")))</f>
        <v/>
      </c>
      <c r="AW5" s="387">
        <f>SUMIF(C2:C76,C5,O2:O76)</f>
        <v>1</v>
      </c>
      <c r="AX5" s="387">
        <f>IF(AND(M5="F",AS5&lt;&gt;0),SUMIF(C2:C76,C5,W2:W76),0)</f>
        <v>115939.2</v>
      </c>
      <c r="AY5" s="387">
        <f t="shared" si="29"/>
        <v>115939.2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7188.2303999999995</v>
      </c>
      <c r="BE5" s="387">
        <f t="shared" si="3"/>
        <v>1681.1184000000001</v>
      </c>
      <c r="BF5" s="387">
        <f t="shared" si="4"/>
        <v>13843.14048</v>
      </c>
      <c r="BG5" s="387">
        <f t="shared" si="5"/>
        <v>835.92163200000005</v>
      </c>
      <c r="BH5" s="387">
        <f t="shared" si="6"/>
        <v>0</v>
      </c>
      <c r="BI5" s="387">
        <f t="shared" si="7"/>
        <v>641.72347200000002</v>
      </c>
      <c r="BJ5" s="387">
        <f t="shared" si="8"/>
        <v>115.9392</v>
      </c>
      <c r="BK5" s="387">
        <f t="shared" si="9"/>
        <v>0</v>
      </c>
      <c r="BL5" s="387">
        <f t="shared" si="32"/>
        <v>24306.073584000005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7188.2303999999995</v>
      </c>
      <c r="BQ5" s="387">
        <f t="shared" si="13"/>
        <v>1681.1184000000001</v>
      </c>
      <c r="BR5" s="387">
        <f t="shared" si="14"/>
        <v>12962.002559999999</v>
      </c>
      <c r="BS5" s="387">
        <f t="shared" si="15"/>
        <v>835.92163200000005</v>
      </c>
      <c r="BT5" s="387">
        <f t="shared" si="16"/>
        <v>0</v>
      </c>
      <c r="BU5" s="387">
        <f t="shared" si="17"/>
        <v>641.72347200000002</v>
      </c>
      <c r="BV5" s="387">
        <f t="shared" si="18"/>
        <v>150.72095999999999</v>
      </c>
      <c r="BW5" s="387">
        <f t="shared" si="19"/>
        <v>0</v>
      </c>
      <c r="BX5" s="387">
        <f t="shared" si="34"/>
        <v>23459.717424000002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-881.13792000000103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34.781759999999991</v>
      </c>
      <c r="CI5" s="387">
        <f t="shared" si="26"/>
        <v>0</v>
      </c>
      <c r="CJ5" s="387">
        <f t="shared" si="39"/>
        <v>-846.35616000000107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0229-00</v>
      </c>
    </row>
    <row r="6" spans="1:92" ht="15.75" thickBot="1" x14ac:dyDescent="0.3">
      <c r="A6" s="377" t="s">
        <v>162</v>
      </c>
      <c r="B6" s="377" t="s">
        <v>163</v>
      </c>
      <c r="C6" s="377" t="s">
        <v>205</v>
      </c>
      <c r="D6" s="377" t="s">
        <v>165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170</v>
      </c>
      <c r="L6" s="377" t="s">
        <v>171</v>
      </c>
      <c r="M6" s="377" t="s">
        <v>187</v>
      </c>
      <c r="N6" s="377" t="s">
        <v>173</v>
      </c>
      <c r="O6" s="380">
        <v>0</v>
      </c>
      <c r="P6" s="385">
        <v>1</v>
      </c>
      <c r="Q6" s="385">
        <v>1</v>
      </c>
      <c r="R6" s="381">
        <v>80</v>
      </c>
      <c r="S6" s="385">
        <v>1</v>
      </c>
      <c r="T6" s="381">
        <v>80860.83</v>
      </c>
      <c r="U6" s="381">
        <v>0</v>
      </c>
      <c r="V6" s="381">
        <v>28896.1</v>
      </c>
      <c r="W6" s="381">
        <v>62275.199999999997</v>
      </c>
      <c r="X6" s="381">
        <v>28023.82</v>
      </c>
      <c r="Y6" s="381">
        <v>62275.199999999997</v>
      </c>
      <c r="Z6" s="381">
        <v>29020.22</v>
      </c>
      <c r="AA6" s="379"/>
      <c r="AB6" s="377" t="s">
        <v>45</v>
      </c>
      <c r="AC6" s="377" t="s">
        <v>45</v>
      </c>
      <c r="AD6" s="379"/>
      <c r="AE6" s="379"/>
      <c r="AF6" s="379"/>
      <c r="AG6" s="379"/>
      <c r="AH6" s="380">
        <v>0</v>
      </c>
      <c r="AI6" s="380">
        <v>0</v>
      </c>
      <c r="AJ6" s="379"/>
      <c r="AK6" s="379"/>
      <c r="AL6" s="377" t="s">
        <v>182</v>
      </c>
      <c r="AM6" s="379"/>
      <c r="AN6" s="379"/>
      <c r="AO6" s="380">
        <v>0</v>
      </c>
      <c r="AP6" s="385">
        <v>0</v>
      </c>
      <c r="AQ6" s="385">
        <v>0</v>
      </c>
      <c r="AR6" s="384"/>
      <c r="AS6" s="387">
        <f t="shared" si="27"/>
        <v>0</v>
      </c>
      <c r="AT6">
        <f t="shared" si="28"/>
        <v>0</v>
      </c>
      <c r="AU6" s="387" t="str">
        <f>IF(AT6=0,"",IF(AND(AT6=1,M6="F",SUMIF(C2:C76,C6,AS2:AS76)&lt;=1),SUMIF(C2:C76,C6,AS2:AS76),IF(AND(AT6=1,M6="F",SUMIF(C2:C76,C6,AS2:AS76)&gt;1),1,"")))</f>
        <v/>
      </c>
      <c r="AV6" s="387" t="str">
        <f>IF(AT6=0,"",IF(AND(AT6=3,M6="F",SUMIF(C2:C76,C6,AS2:AS76)&lt;=1),SUMIF(C2:C76,C6,AS2:AS76),IF(AND(AT6=3,M6="F",SUMIF(C2:C76,C6,AS2:AS76)&gt;1),1,"")))</f>
        <v/>
      </c>
      <c r="AW6" s="387">
        <f>SUMIF(C2:C76,C6,O2:O76)</f>
        <v>0</v>
      </c>
      <c r="AX6" s="387">
        <f>IF(AND(M6="F",AS6&lt;&gt;0),SUMIF(C2:C76,C6,W2:W76),0)</f>
        <v>0</v>
      </c>
      <c r="AY6" s="387" t="str">
        <f t="shared" si="29"/>
        <v/>
      </c>
      <c r="AZ6" s="387" t="str">
        <f t="shared" si="30"/>
        <v/>
      </c>
      <c r="BA6" s="387">
        <f t="shared" si="31"/>
        <v>0</v>
      </c>
      <c r="BB6" s="387">
        <f t="shared" si="0"/>
        <v>0</v>
      </c>
      <c r="BC6" s="387">
        <f t="shared" si="1"/>
        <v>0</v>
      </c>
      <c r="BD6" s="387">
        <f t="shared" si="2"/>
        <v>0</v>
      </c>
      <c r="BE6" s="387">
        <f t="shared" si="3"/>
        <v>0</v>
      </c>
      <c r="BF6" s="387">
        <f t="shared" si="4"/>
        <v>0</v>
      </c>
      <c r="BG6" s="387">
        <f t="shared" si="5"/>
        <v>0</v>
      </c>
      <c r="BH6" s="387">
        <f t="shared" si="6"/>
        <v>0</v>
      </c>
      <c r="BI6" s="387">
        <f t="shared" si="7"/>
        <v>0</v>
      </c>
      <c r="BJ6" s="387">
        <f t="shared" si="8"/>
        <v>0</v>
      </c>
      <c r="BK6" s="387">
        <f t="shared" si="9"/>
        <v>0</v>
      </c>
      <c r="BL6" s="387">
        <f t="shared" si="32"/>
        <v>0</v>
      </c>
      <c r="BM6" s="387">
        <f t="shared" si="33"/>
        <v>0</v>
      </c>
      <c r="BN6" s="387">
        <f t="shared" si="10"/>
        <v>0</v>
      </c>
      <c r="BO6" s="387">
        <f t="shared" si="11"/>
        <v>0</v>
      </c>
      <c r="BP6" s="387">
        <f t="shared" si="12"/>
        <v>0</v>
      </c>
      <c r="BQ6" s="387">
        <f t="shared" si="13"/>
        <v>0</v>
      </c>
      <c r="BR6" s="387">
        <f t="shared" si="14"/>
        <v>0</v>
      </c>
      <c r="BS6" s="387">
        <f t="shared" si="15"/>
        <v>0</v>
      </c>
      <c r="BT6" s="387">
        <f t="shared" si="16"/>
        <v>0</v>
      </c>
      <c r="BU6" s="387">
        <f t="shared" si="17"/>
        <v>0</v>
      </c>
      <c r="BV6" s="387">
        <f t="shared" si="18"/>
        <v>0</v>
      </c>
      <c r="BW6" s="387">
        <f t="shared" si="19"/>
        <v>0</v>
      </c>
      <c r="BX6" s="387">
        <f t="shared" si="34"/>
        <v>0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0</v>
      </c>
      <c r="CI6" s="387">
        <f t="shared" si="26"/>
        <v>0</v>
      </c>
      <c r="CJ6" s="387">
        <f t="shared" si="39"/>
        <v>0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0229-00</v>
      </c>
    </row>
    <row r="7" spans="1:92" ht="15.75" thickBot="1" x14ac:dyDescent="0.3">
      <c r="A7" s="377" t="s">
        <v>162</v>
      </c>
      <c r="B7" s="377" t="s">
        <v>163</v>
      </c>
      <c r="C7" s="377" t="s">
        <v>206</v>
      </c>
      <c r="D7" s="377" t="s">
        <v>165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170</v>
      </c>
      <c r="L7" s="377" t="s">
        <v>171</v>
      </c>
      <c r="M7" s="377" t="s">
        <v>172</v>
      </c>
      <c r="N7" s="377" t="s">
        <v>173</v>
      </c>
      <c r="O7" s="380">
        <v>1</v>
      </c>
      <c r="P7" s="385">
        <v>1</v>
      </c>
      <c r="Q7" s="385">
        <v>1</v>
      </c>
      <c r="R7" s="381">
        <v>80</v>
      </c>
      <c r="S7" s="385">
        <v>1</v>
      </c>
      <c r="T7" s="381">
        <v>69920.03</v>
      </c>
      <c r="U7" s="381">
        <v>0</v>
      </c>
      <c r="V7" s="381">
        <v>26547.16</v>
      </c>
      <c r="W7" s="381">
        <v>71760</v>
      </c>
      <c r="X7" s="381">
        <v>27544.46</v>
      </c>
      <c r="Y7" s="381">
        <v>71760</v>
      </c>
      <c r="Z7" s="381">
        <v>28270.6</v>
      </c>
      <c r="AA7" s="377" t="s">
        <v>207</v>
      </c>
      <c r="AB7" s="377" t="s">
        <v>208</v>
      </c>
      <c r="AC7" s="377" t="s">
        <v>209</v>
      </c>
      <c r="AD7" s="377" t="s">
        <v>210</v>
      </c>
      <c r="AE7" s="377" t="s">
        <v>211</v>
      </c>
      <c r="AF7" s="377" t="s">
        <v>212</v>
      </c>
      <c r="AG7" s="377" t="s">
        <v>179</v>
      </c>
      <c r="AH7" s="382">
        <v>34.5</v>
      </c>
      <c r="AI7" s="382">
        <v>31868.1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5">
        <v>1</v>
      </c>
      <c r="AQ7" s="385">
        <v>1</v>
      </c>
      <c r="AR7" s="383">
        <v>3</v>
      </c>
      <c r="AS7" s="387">
        <f t="shared" si="27"/>
        <v>1</v>
      </c>
      <c r="AT7">
        <f t="shared" si="28"/>
        <v>1</v>
      </c>
      <c r="AU7" s="387">
        <f>IF(AT7=0,"",IF(AND(AT7=1,M7="F",SUMIF(C2:C76,C7,AS2:AS76)&lt;=1),SUMIF(C2:C76,C7,AS2:AS76),IF(AND(AT7=1,M7="F",SUMIF(C2:C76,C7,AS2:AS76)&gt;1),1,"")))</f>
        <v>1</v>
      </c>
      <c r="AV7" s="387" t="str">
        <f>IF(AT7=0,"",IF(AND(AT7=3,M7="F",SUMIF(C2:C76,C7,AS2:AS76)&lt;=1),SUMIF(C2:C76,C7,AS2:AS76),IF(AND(AT7=3,M7="F",SUMIF(C2:C76,C7,AS2:AS76)&gt;1),1,"")))</f>
        <v/>
      </c>
      <c r="AW7" s="387">
        <f>SUMIF(C2:C76,C7,O2:O76)</f>
        <v>1</v>
      </c>
      <c r="AX7" s="387">
        <f>IF(AND(M7="F",AS7&lt;&gt;0),SUMIF(C2:C76,C7,W2:W76),0)</f>
        <v>71760</v>
      </c>
      <c r="AY7" s="387">
        <f t="shared" si="29"/>
        <v>71760</v>
      </c>
      <c r="AZ7" s="387" t="str">
        <f t="shared" si="30"/>
        <v/>
      </c>
      <c r="BA7" s="387">
        <f t="shared" si="31"/>
        <v>0</v>
      </c>
      <c r="BB7" s="387">
        <f t="shared" si="0"/>
        <v>12500</v>
      </c>
      <c r="BC7" s="387">
        <f t="shared" si="1"/>
        <v>0</v>
      </c>
      <c r="BD7" s="387">
        <f t="shared" si="2"/>
        <v>4449.12</v>
      </c>
      <c r="BE7" s="387">
        <f t="shared" si="3"/>
        <v>1040.52</v>
      </c>
      <c r="BF7" s="387">
        <f t="shared" si="4"/>
        <v>8568.1440000000002</v>
      </c>
      <c r="BG7" s="387">
        <f t="shared" si="5"/>
        <v>517.38959999999997</v>
      </c>
      <c r="BH7" s="387">
        <f t="shared" si="6"/>
        <v>0</v>
      </c>
      <c r="BI7" s="387">
        <f t="shared" si="7"/>
        <v>397.19159999999999</v>
      </c>
      <c r="BJ7" s="387">
        <f t="shared" si="8"/>
        <v>71.760000000000005</v>
      </c>
      <c r="BK7" s="387">
        <f t="shared" si="9"/>
        <v>0</v>
      </c>
      <c r="BL7" s="387">
        <f t="shared" si="32"/>
        <v>15044.1252</v>
      </c>
      <c r="BM7" s="387">
        <f t="shared" si="33"/>
        <v>0</v>
      </c>
      <c r="BN7" s="387">
        <f t="shared" si="10"/>
        <v>13750</v>
      </c>
      <c r="BO7" s="387">
        <f t="shared" si="11"/>
        <v>0</v>
      </c>
      <c r="BP7" s="387">
        <f t="shared" si="12"/>
        <v>4449.12</v>
      </c>
      <c r="BQ7" s="387">
        <f t="shared" si="13"/>
        <v>1040.52</v>
      </c>
      <c r="BR7" s="387">
        <f t="shared" si="14"/>
        <v>8022.768</v>
      </c>
      <c r="BS7" s="387">
        <f t="shared" si="15"/>
        <v>517.38959999999997</v>
      </c>
      <c r="BT7" s="387">
        <f t="shared" si="16"/>
        <v>0</v>
      </c>
      <c r="BU7" s="387">
        <f t="shared" si="17"/>
        <v>397.19159999999999</v>
      </c>
      <c r="BV7" s="387">
        <f t="shared" si="18"/>
        <v>93.287999999999997</v>
      </c>
      <c r="BW7" s="387">
        <f t="shared" si="19"/>
        <v>0</v>
      </c>
      <c r="BX7" s="387">
        <f t="shared" si="34"/>
        <v>14520.2772</v>
      </c>
      <c r="BY7" s="387">
        <f t="shared" si="35"/>
        <v>0</v>
      </c>
      <c r="BZ7" s="387">
        <f t="shared" si="36"/>
        <v>1250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-545.37600000000066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21.527999999999995</v>
      </c>
      <c r="CI7" s="387">
        <f t="shared" si="26"/>
        <v>0</v>
      </c>
      <c r="CJ7" s="387">
        <f t="shared" si="39"/>
        <v>-523.84800000000064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0229-00</v>
      </c>
    </row>
    <row r="8" spans="1:92" ht="15.75" thickBot="1" x14ac:dyDescent="0.3">
      <c r="A8" s="377" t="s">
        <v>162</v>
      </c>
      <c r="B8" s="377" t="s">
        <v>163</v>
      </c>
      <c r="C8" s="377" t="s">
        <v>213</v>
      </c>
      <c r="D8" s="377" t="s">
        <v>165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186</v>
      </c>
      <c r="K8" s="377" t="s">
        <v>214</v>
      </c>
      <c r="L8" s="377" t="s">
        <v>191</v>
      </c>
      <c r="M8" s="377" t="s">
        <v>172</v>
      </c>
      <c r="N8" s="377" t="s">
        <v>173</v>
      </c>
      <c r="O8" s="380">
        <v>1</v>
      </c>
      <c r="P8" s="385">
        <v>1</v>
      </c>
      <c r="Q8" s="385">
        <v>1</v>
      </c>
      <c r="R8" s="381">
        <v>80</v>
      </c>
      <c r="S8" s="385">
        <v>1</v>
      </c>
      <c r="T8" s="381">
        <v>59020.5</v>
      </c>
      <c r="U8" s="381">
        <v>0</v>
      </c>
      <c r="V8" s="381">
        <v>21080.2</v>
      </c>
      <c r="W8" s="381">
        <v>92643.199999999997</v>
      </c>
      <c r="X8" s="381">
        <v>31922.61</v>
      </c>
      <c r="Y8" s="381">
        <v>92643.199999999997</v>
      </c>
      <c r="Z8" s="381">
        <v>32496.31</v>
      </c>
      <c r="AA8" s="377" t="s">
        <v>215</v>
      </c>
      <c r="AB8" s="377" t="s">
        <v>216</v>
      </c>
      <c r="AC8" s="377" t="s">
        <v>217</v>
      </c>
      <c r="AD8" s="377" t="s">
        <v>218</v>
      </c>
      <c r="AE8" s="377" t="s">
        <v>214</v>
      </c>
      <c r="AF8" s="377" t="s">
        <v>196</v>
      </c>
      <c r="AG8" s="377" t="s">
        <v>179</v>
      </c>
      <c r="AH8" s="382">
        <v>44.54</v>
      </c>
      <c r="AI8" s="382">
        <v>1184.5999999999999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5">
        <v>1</v>
      </c>
      <c r="AQ8" s="385">
        <v>1</v>
      </c>
      <c r="AR8" s="383" t="s">
        <v>184</v>
      </c>
      <c r="AS8" s="387">
        <f t="shared" si="27"/>
        <v>1</v>
      </c>
      <c r="AT8">
        <f t="shared" si="28"/>
        <v>1</v>
      </c>
      <c r="AU8" s="387">
        <f>IF(AT8=0,"",IF(AND(AT8=1,M8="F",SUMIF(C2:C76,C8,AS2:AS76)&lt;=1),SUMIF(C2:C76,C8,AS2:AS76),IF(AND(AT8=1,M8="F",SUMIF(C2:C76,C8,AS2:AS76)&gt;1),1,"")))</f>
        <v>1</v>
      </c>
      <c r="AV8" s="387" t="str">
        <f>IF(AT8=0,"",IF(AND(AT8=3,M8="F",SUMIF(C2:C76,C8,AS2:AS76)&lt;=1),SUMIF(C2:C76,C8,AS2:AS76),IF(AND(AT8=3,M8="F",SUMIF(C2:C76,C8,AS2:AS76)&gt;1),1,"")))</f>
        <v/>
      </c>
      <c r="AW8" s="387">
        <f>SUMIF(C2:C76,C8,O2:O76)</f>
        <v>1</v>
      </c>
      <c r="AX8" s="387">
        <f>IF(AND(M8="F",AS8&lt;&gt;0),SUMIF(C2:C76,C8,W2:W76),0)</f>
        <v>92643.199999999997</v>
      </c>
      <c r="AY8" s="387">
        <f t="shared" si="29"/>
        <v>92643.199999999997</v>
      </c>
      <c r="AZ8" s="387" t="str">
        <f t="shared" si="30"/>
        <v/>
      </c>
      <c r="BA8" s="387">
        <f t="shared" si="31"/>
        <v>0</v>
      </c>
      <c r="BB8" s="387">
        <f t="shared" si="0"/>
        <v>12500</v>
      </c>
      <c r="BC8" s="387">
        <f t="shared" si="1"/>
        <v>0</v>
      </c>
      <c r="BD8" s="387">
        <f t="shared" si="2"/>
        <v>5743.8783999999996</v>
      </c>
      <c r="BE8" s="387">
        <f t="shared" si="3"/>
        <v>1343.3263999999999</v>
      </c>
      <c r="BF8" s="387">
        <f t="shared" si="4"/>
        <v>11061.59808</v>
      </c>
      <c r="BG8" s="387">
        <f t="shared" si="5"/>
        <v>667.95747200000005</v>
      </c>
      <c r="BH8" s="387">
        <f t="shared" si="6"/>
        <v>0</v>
      </c>
      <c r="BI8" s="387">
        <f t="shared" si="7"/>
        <v>512.78011200000003</v>
      </c>
      <c r="BJ8" s="387">
        <f t="shared" si="8"/>
        <v>92.643199999999993</v>
      </c>
      <c r="BK8" s="387">
        <f t="shared" si="9"/>
        <v>0</v>
      </c>
      <c r="BL8" s="387">
        <f t="shared" si="32"/>
        <v>19422.183663999996</v>
      </c>
      <c r="BM8" s="387">
        <f t="shared" si="33"/>
        <v>0</v>
      </c>
      <c r="BN8" s="387">
        <f t="shared" si="10"/>
        <v>13750</v>
      </c>
      <c r="BO8" s="387">
        <f t="shared" si="11"/>
        <v>0</v>
      </c>
      <c r="BP8" s="387">
        <f t="shared" si="12"/>
        <v>5743.8783999999996</v>
      </c>
      <c r="BQ8" s="387">
        <f t="shared" si="13"/>
        <v>1343.3263999999999</v>
      </c>
      <c r="BR8" s="387">
        <f t="shared" si="14"/>
        <v>10357.509759999999</v>
      </c>
      <c r="BS8" s="387">
        <f t="shared" si="15"/>
        <v>667.95747200000005</v>
      </c>
      <c r="BT8" s="387">
        <f t="shared" si="16"/>
        <v>0</v>
      </c>
      <c r="BU8" s="387">
        <f t="shared" si="17"/>
        <v>512.78011200000003</v>
      </c>
      <c r="BV8" s="387">
        <f t="shared" si="18"/>
        <v>120.43615999999999</v>
      </c>
      <c r="BW8" s="387">
        <f t="shared" si="19"/>
        <v>0</v>
      </c>
      <c r="BX8" s="387">
        <f t="shared" si="34"/>
        <v>18745.888304000004</v>
      </c>
      <c r="BY8" s="387">
        <f t="shared" si="35"/>
        <v>0</v>
      </c>
      <c r="BZ8" s="387">
        <f t="shared" si="36"/>
        <v>1250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-704.08832000000086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27.79295999999999</v>
      </c>
      <c r="CI8" s="387">
        <f t="shared" si="26"/>
        <v>0</v>
      </c>
      <c r="CJ8" s="387">
        <f t="shared" si="39"/>
        <v>-676.29536000000087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0229-00</v>
      </c>
    </row>
    <row r="9" spans="1:92" ht="15.75" thickBot="1" x14ac:dyDescent="0.3">
      <c r="A9" s="377" t="s">
        <v>162</v>
      </c>
      <c r="B9" s="377" t="s">
        <v>163</v>
      </c>
      <c r="C9" s="377" t="s">
        <v>219</v>
      </c>
      <c r="D9" s="377" t="s">
        <v>220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221</v>
      </c>
      <c r="L9" s="377" t="s">
        <v>199</v>
      </c>
      <c r="M9" s="377" t="s">
        <v>172</v>
      </c>
      <c r="N9" s="377" t="s">
        <v>173</v>
      </c>
      <c r="O9" s="380">
        <v>1</v>
      </c>
      <c r="P9" s="385">
        <v>1</v>
      </c>
      <c r="Q9" s="385">
        <v>1</v>
      </c>
      <c r="R9" s="381">
        <v>80</v>
      </c>
      <c r="S9" s="385">
        <v>1</v>
      </c>
      <c r="T9" s="381">
        <v>102297.60000000001</v>
      </c>
      <c r="U9" s="381">
        <v>0</v>
      </c>
      <c r="V9" s="381">
        <v>33538.86</v>
      </c>
      <c r="W9" s="381">
        <v>104873.60000000001</v>
      </c>
      <c r="X9" s="381">
        <v>34486.69</v>
      </c>
      <c r="Y9" s="381">
        <v>104873.60000000001</v>
      </c>
      <c r="Z9" s="381">
        <v>34971.1</v>
      </c>
      <c r="AA9" s="377" t="s">
        <v>222</v>
      </c>
      <c r="AB9" s="377" t="s">
        <v>223</v>
      </c>
      <c r="AC9" s="377" t="s">
        <v>224</v>
      </c>
      <c r="AD9" s="377" t="s">
        <v>195</v>
      </c>
      <c r="AE9" s="377" t="s">
        <v>221</v>
      </c>
      <c r="AF9" s="377" t="s">
        <v>204</v>
      </c>
      <c r="AG9" s="377" t="s">
        <v>179</v>
      </c>
      <c r="AH9" s="382">
        <v>50.42</v>
      </c>
      <c r="AI9" s="382">
        <v>35676.800000000003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5">
        <v>1</v>
      </c>
      <c r="AQ9" s="385">
        <v>1</v>
      </c>
      <c r="AR9" s="383" t="s">
        <v>184</v>
      </c>
      <c r="AS9" s="387">
        <f t="shared" si="27"/>
        <v>1</v>
      </c>
      <c r="AT9">
        <f t="shared" si="28"/>
        <v>1</v>
      </c>
      <c r="AU9" s="387">
        <f>IF(AT9=0,"",IF(AND(AT9=1,M9="F",SUMIF(C2:C76,C9,AS2:AS76)&lt;=1),SUMIF(C2:C76,C9,AS2:AS76),IF(AND(AT9=1,M9="F",SUMIF(C2:C76,C9,AS2:AS76)&gt;1),1,"")))</f>
        <v>1</v>
      </c>
      <c r="AV9" s="387" t="str">
        <f>IF(AT9=0,"",IF(AND(AT9=3,M9="F",SUMIF(C2:C76,C9,AS2:AS76)&lt;=1),SUMIF(C2:C76,C9,AS2:AS76),IF(AND(AT9=3,M9="F",SUMIF(C2:C76,C9,AS2:AS76)&gt;1),1,"")))</f>
        <v/>
      </c>
      <c r="AW9" s="387">
        <f>SUMIF(C2:C76,C9,O2:O76)</f>
        <v>1</v>
      </c>
      <c r="AX9" s="387">
        <f>IF(AND(M9="F",AS9&lt;&gt;0),SUMIF(C2:C76,C9,W2:W76),0)</f>
        <v>104873.60000000001</v>
      </c>
      <c r="AY9" s="387">
        <f t="shared" si="29"/>
        <v>104873.60000000001</v>
      </c>
      <c r="AZ9" s="387" t="str">
        <f t="shared" si="30"/>
        <v/>
      </c>
      <c r="BA9" s="387">
        <f t="shared" si="31"/>
        <v>0</v>
      </c>
      <c r="BB9" s="387">
        <f t="shared" si="0"/>
        <v>12500</v>
      </c>
      <c r="BC9" s="387">
        <f t="shared" si="1"/>
        <v>0</v>
      </c>
      <c r="BD9" s="387">
        <f t="shared" si="2"/>
        <v>6502.1632</v>
      </c>
      <c r="BE9" s="387">
        <f t="shared" si="3"/>
        <v>1520.6672000000001</v>
      </c>
      <c r="BF9" s="387">
        <f t="shared" si="4"/>
        <v>12521.907840000002</v>
      </c>
      <c r="BG9" s="387">
        <f t="shared" si="5"/>
        <v>756.13865600000008</v>
      </c>
      <c r="BH9" s="387">
        <f t="shared" si="6"/>
        <v>0</v>
      </c>
      <c r="BI9" s="387">
        <f t="shared" si="7"/>
        <v>580.47537599999998</v>
      </c>
      <c r="BJ9" s="387">
        <f t="shared" si="8"/>
        <v>104.87360000000001</v>
      </c>
      <c r="BK9" s="387">
        <f t="shared" si="9"/>
        <v>0</v>
      </c>
      <c r="BL9" s="387">
        <f t="shared" si="32"/>
        <v>21986.225871999999</v>
      </c>
      <c r="BM9" s="387">
        <f t="shared" si="33"/>
        <v>0</v>
      </c>
      <c r="BN9" s="387">
        <f t="shared" si="10"/>
        <v>13750</v>
      </c>
      <c r="BO9" s="387">
        <f t="shared" si="11"/>
        <v>0</v>
      </c>
      <c r="BP9" s="387">
        <f t="shared" si="12"/>
        <v>6502.1632</v>
      </c>
      <c r="BQ9" s="387">
        <f t="shared" si="13"/>
        <v>1520.6672000000001</v>
      </c>
      <c r="BR9" s="387">
        <f t="shared" si="14"/>
        <v>11724.868480000001</v>
      </c>
      <c r="BS9" s="387">
        <f t="shared" si="15"/>
        <v>756.13865600000008</v>
      </c>
      <c r="BT9" s="387">
        <f t="shared" si="16"/>
        <v>0</v>
      </c>
      <c r="BU9" s="387">
        <f t="shared" si="17"/>
        <v>580.47537599999998</v>
      </c>
      <c r="BV9" s="387">
        <f t="shared" si="18"/>
        <v>136.33568</v>
      </c>
      <c r="BW9" s="387">
        <f t="shared" si="19"/>
        <v>0</v>
      </c>
      <c r="BX9" s="387">
        <f t="shared" si="34"/>
        <v>21220.648591999998</v>
      </c>
      <c r="BY9" s="387">
        <f t="shared" si="35"/>
        <v>0</v>
      </c>
      <c r="BZ9" s="387">
        <f t="shared" si="36"/>
        <v>1250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-797.03936000000101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31.462079999999993</v>
      </c>
      <c r="CI9" s="387">
        <f t="shared" si="26"/>
        <v>0</v>
      </c>
      <c r="CJ9" s="387">
        <f t="shared" si="39"/>
        <v>-765.577280000001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0229-00</v>
      </c>
    </row>
    <row r="10" spans="1:92" ht="15.75" thickBot="1" x14ac:dyDescent="0.3">
      <c r="A10" s="377" t="s">
        <v>162</v>
      </c>
      <c r="B10" s="377" t="s">
        <v>163</v>
      </c>
      <c r="C10" s="377" t="s">
        <v>225</v>
      </c>
      <c r="D10" s="377" t="s">
        <v>189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186</v>
      </c>
      <c r="K10" s="377" t="s">
        <v>198</v>
      </c>
      <c r="L10" s="377" t="s">
        <v>199</v>
      </c>
      <c r="M10" s="377" t="s">
        <v>172</v>
      </c>
      <c r="N10" s="377" t="s">
        <v>173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73201.64</v>
      </c>
      <c r="U10" s="381">
        <v>0</v>
      </c>
      <c r="V10" s="381">
        <v>27375.43</v>
      </c>
      <c r="W10" s="381">
        <v>79747.199999999997</v>
      </c>
      <c r="X10" s="381">
        <v>29218.959999999999</v>
      </c>
      <c r="Y10" s="381">
        <v>79747.199999999997</v>
      </c>
      <c r="Z10" s="381">
        <v>29886.81</v>
      </c>
      <c r="AA10" s="377" t="s">
        <v>226</v>
      </c>
      <c r="AB10" s="377" t="s">
        <v>227</v>
      </c>
      <c r="AC10" s="377" t="s">
        <v>228</v>
      </c>
      <c r="AD10" s="377" t="s">
        <v>218</v>
      </c>
      <c r="AE10" s="377" t="s">
        <v>229</v>
      </c>
      <c r="AF10" s="377" t="s">
        <v>178</v>
      </c>
      <c r="AG10" s="377" t="s">
        <v>179</v>
      </c>
      <c r="AH10" s="382">
        <v>38.340000000000003</v>
      </c>
      <c r="AI10" s="382">
        <v>6707.1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5">
        <v>1</v>
      </c>
      <c r="AQ10" s="385">
        <v>1</v>
      </c>
      <c r="AR10" s="383" t="s">
        <v>184</v>
      </c>
      <c r="AS10" s="387">
        <f t="shared" si="27"/>
        <v>1</v>
      </c>
      <c r="AT10">
        <f t="shared" si="28"/>
        <v>1</v>
      </c>
      <c r="AU10" s="387">
        <f>IF(AT10=0,"",IF(AND(AT10=1,M10="F",SUMIF(C2:C76,C10,AS2:AS76)&lt;=1),SUMIF(C2:C76,C10,AS2:AS76),IF(AND(AT10=1,M10="F",SUMIF(C2:C76,C10,AS2:AS76)&gt;1),1,"")))</f>
        <v>1</v>
      </c>
      <c r="AV10" s="387" t="str">
        <f>IF(AT10=0,"",IF(AND(AT10=3,M10="F",SUMIF(C2:C76,C10,AS2:AS76)&lt;=1),SUMIF(C2:C76,C10,AS2:AS76),IF(AND(AT10=3,M10="F",SUMIF(C2:C76,C10,AS2:AS76)&gt;1),1,"")))</f>
        <v/>
      </c>
      <c r="AW10" s="387">
        <f>SUMIF(C2:C76,C10,O2:O76)</f>
        <v>1</v>
      </c>
      <c r="AX10" s="387">
        <f>IF(AND(M10="F",AS10&lt;&gt;0),SUMIF(C2:C76,C10,W2:W76),0)</f>
        <v>79747.199999999997</v>
      </c>
      <c r="AY10" s="387">
        <f t="shared" si="29"/>
        <v>79747.199999999997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4944.3263999999999</v>
      </c>
      <c r="BE10" s="387">
        <f t="shared" si="3"/>
        <v>1156.3344</v>
      </c>
      <c r="BF10" s="387">
        <f t="shared" si="4"/>
        <v>9521.8156799999997</v>
      </c>
      <c r="BG10" s="387">
        <f t="shared" si="5"/>
        <v>574.97731199999998</v>
      </c>
      <c r="BH10" s="387">
        <f t="shared" si="6"/>
        <v>0</v>
      </c>
      <c r="BI10" s="387">
        <f t="shared" si="7"/>
        <v>441.40075200000001</v>
      </c>
      <c r="BJ10" s="387">
        <f t="shared" si="8"/>
        <v>79.747199999999992</v>
      </c>
      <c r="BK10" s="387">
        <f t="shared" si="9"/>
        <v>0</v>
      </c>
      <c r="BL10" s="387">
        <f t="shared" si="32"/>
        <v>16718.601744000003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4944.3263999999999</v>
      </c>
      <c r="BQ10" s="387">
        <f t="shared" si="13"/>
        <v>1156.3344</v>
      </c>
      <c r="BR10" s="387">
        <f t="shared" si="14"/>
        <v>8915.7369600000002</v>
      </c>
      <c r="BS10" s="387">
        <f t="shared" si="15"/>
        <v>574.97731199999998</v>
      </c>
      <c r="BT10" s="387">
        <f t="shared" si="16"/>
        <v>0</v>
      </c>
      <c r="BU10" s="387">
        <f t="shared" si="17"/>
        <v>441.40075200000001</v>
      </c>
      <c r="BV10" s="387">
        <f t="shared" si="18"/>
        <v>103.67135999999999</v>
      </c>
      <c r="BW10" s="387">
        <f t="shared" si="19"/>
        <v>0</v>
      </c>
      <c r="BX10" s="387">
        <f t="shared" si="34"/>
        <v>16136.447183999999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-606.07872000000077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23.924159999999993</v>
      </c>
      <c r="CI10" s="387">
        <f t="shared" si="26"/>
        <v>0</v>
      </c>
      <c r="CJ10" s="387">
        <f t="shared" si="39"/>
        <v>-582.15456000000074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0229-00</v>
      </c>
    </row>
    <row r="11" spans="1:92" ht="15.75" thickBot="1" x14ac:dyDescent="0.3">
      <c r="A11" s="377" t="s">
        <v>162</v>
      </c>
      <c r="B11" s="377" t="s">
        <v>163</v>
      </c>
      <c r="C11" s="377" t="s">
        <v>230</v>
      </c>
      <c r="D11" s="377" t="s">
        <v>231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186</v>
      </c>
      <c r="K11" s="377" t="s">
        <v>232</v>
      </c>
      <c r="L11" s="377" t="s">
        <v>167</v>
      </c>
      <c r="M11" s="377" t="s">
        <v>172</v>
      </c>
      <c r="N11" s="377" t="s">
        <v>233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153472</v>
      </c>
      <c r="U11" s="381">
        <v>0</v>
      </c>
      <c r="V11" s="381">
        <v>42708.11</v>
      </c>
      <c r="W11" s="381">
        <v>160992</v>
      </c>
      <c r="X11" s="381">
        <v>44232.160000000003</v>
      </c>
      <c r="Y11" s="381">
        <v>160992</v>
      </c>
      <c r="Z11" s="381">
        <v>44567.31</v>
      </c>
      <c r="AA11" s="377" t="s">
        <v>234</v>
      </c>
      <c r="AB11" s="377" t="s">
        <v>235</v>
      </c>
      <c r="AC11" s="377" t="s">
        <v>236</v>
      </c>
      <c r="AD11" s="377" t="s">
        <v>237</v>
      </c>
      <c r="AE11" s="377" t="s">
        <v>232</v>
      </c>
      <c r="AF11" s="377" t="s">
        <v>238</v>
      </c>
      <c r="AG11" s="377" t="s">
        <v>179</v>
      </c>
      <c r="AH11" s="382">
        <v>77.400000000000006</v>
      </c>
      <c r="AI11" s="380">
        <v>5200</v>
      </c>
      <c r="AJ11" s="377" t="s">
        <v>180</v>
      </c>
      <c r="AK11" s="377" t="s">
        <v>181</v>
      </c>
      <c r="AL11" s="377" t="s">
        <v>182</v>
      </c>
      <c r="AM11" s="377" t="s">
        <v>182</v>
      </c>
      <c r="AN11" s="377" t="s">
        <v>66</v>
      </c>
      <c r="AO11" s="380">
        <v>80</v>
      </c>
      <c r="AP11" s="385">
        <v>1</v>
      </c>
      <c r="AQ11" s="385">
        <v>1</v>
      </c>
      <c r="AR11" s="383" t="s">
        <v>184</v>
      </c>
      <c r="AS11" s="387">
        <f t="shared" si="27"/>
        <v>1</v>
      </c>
      <c r="AT11">
        <f t="shared" si="28"/>
        <v>1</v>
      </c>
      <c r="AU11" s="387">
        <f>IF(AT11=0,"",IF(AND(AT11=1,M11="F",SUMIF(C2:C76,C11,AS2:AS76)&lt;=1),SUMIF(C2:C76,C11,AS2:AS76),IF(AND(AT11=1,M11="F",SUMIF(C2:C76,C11,AS2:AS76)&gt;1),1,"")))</f>
        <v>1</v>
      </c>
      <c r="AV11" s="387" t="str">
        <f>IF(AT11=0,"",IF(AND(AT11=3,M11="F",SUMIF(C2:C76,C11,AS2:AS76)&lt;=1),SUMIF(C2:C76,C11,AS2:AS76),IF(AND(AT11=3,M11="F",SUMIF(C2:C76,C11,AS2:AS76)&gt;1),1,"")))</f>
        <v/>
      </c>
      <c r="AW11" s="387">
        <f>SUMIF(C2:C76,C11,O2:O76)</f>
        <v>1</v>
      </c>
      <c r="AX11" s="387">
        <f>IF(AND(M11="F",AS11&lt;&gt;0),SUMIF(C2:C76,C11,W2:W76),0)</f>
        <v>160992</v>
      </c>
      <c r="AY11" s="387">
        <f t="shared" si="29"/>
        <v>160992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8853.6</v>
      </c>
      <c r="BE11" s="387">
        <f t="shared" si="3"/>
        <v>2334.384</v>
      </c>
      <c r="BF11" s="387">
        <f t="shared" si="4"/>
        <v>19222.444800000001</v>
      </c>
      <c r="BG11" s="387">
        <f t="shared" si="5"/>
        <v>1160.7523200000001</v>
      </c>
      <c r="BH11" s="387">
        <f t="shared" si="6"/>
        <v>0</v>
      </c>
      <c r="BI11" s="387">
        <f t="shared" si="7"/>
        <v>0</v>
      </c>
      <c r="BJ11" s="387">
        <f t="shared" si="8"/>
        <v>160.99199999999999</v>
      </c>
      <c r="BK11" s="387">
        <f t="shared" si="9"/>
        <v>0</v>
      </c>
      <c r="BL11" s="387">
        <f t="shared" si="32"/>
        <v>31732.173119999999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9114</v>
      </c>
      <c r="BQ11" s="387">
        <f t="shared" si="13"/>
        <v>2334.384</v>
      </c>
      <c r="BR11" s="387">
        <f t="shared" si="14"/>
        <v>17998.905599999998</v>
      </c>
      <c r="BS11" s="387">
        <f t="shared" si="15"/>
        <v>1160.7523200000001</v>
      </c>
      <c r="BT11" s="387">
        <f t="shared" si="16"/>
        <v>0</v>
      </c>
      <c r="BU11" s="387">
        <f t="shared" si="17"/>
        <v>0</v>
      </c>
      <c r="BV11" s="387">
        <f t="shared" si="18"/>
        <v>209.28959999999998</v>
      </c>
      <c r="BW11" s="387">
        <f t="shared" si="19"/>
        <v>0</v>
      </c>
      <c r="BX11" s="387">
        <f t="shared" si="34"/>
        <v>30817.331519999996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260.39999999999964</v>
      </c>
      <c r="CC11" s="387">
        <f t="shared" si="20"/>
        <v>0</v>
      </c>
      <c r="CD11" s="387">
        <f t="shared" si="21"/>
        <v>-1223.5392000000015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48.297599999999989</v>
      </c>
      <c r="CI11" s="387">
        <f t="shared" si="26"/>
        <v>0</v>
      </c>
      <c r="CJ11" s="387">
        <f t="shared" si="39"/>
        <v>-914.8416000000019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0229-00</v>
      </c>
    </row>
    <row r="12" spans="1:92" ht="15.75" thickBot="1" x14ac:dyDescent="0.3">
      <c r="A12" s="377" t="s">
        <v>162</v>
      </c>
      <c r="B12" s="377" t="s">
        <v>163</v>
      </c>
      <c r="C12" s="377" t="s">
        <v>239</v>
      </c>
      <c r="D12" s="377" t="s">
        <v>165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186</v>
      </c>
      <c r="K12" s="377" t="s">
        <v>170</v>
      </c>
      <c r="L12" s="377" t="s">
        <v>171</v>
      </c>
      <c r="M12" s="377" t="s">
        <v>172</v>
      </c>
      <c r="N12" s="377" t="s">
        <v>173</v>
      </c>
      <c r="O12" s="380">
        <v>1</v>
      </c>
      <c r="P12" s="385">
        <v>1</v>
      </c>
      <c r="Q12" s="385">
        <v>1</v>
      </c>
      <c r="R12" s="381">
        <v>80</v>
      </c>
      <c r="S12" s="385">
        <v>1</v>
      </c>
      <c r="T12" s="381">
        <v>77446.399999999994</v>
      </c>
      <c r="U12" s="381">
        <v>0</v>
      </c>
      <c r="V12" s="381">
        <v>27934.39</v>
      </c>
      <c r="W12" s="381">
        <v>81494.399999999994</v>
      </c>
      <c r="X12" s="381">
        <v>29585.27</v>
      </c>
      <c r="Y12" s="381">
        <v>81494.399999999994</v>
      </c>
      <c r="Z12" s="381">
        <v>30240.36</v>
      </c>
      <c r="AA12" s="377" t="s">
        <v>240</v>
      </c>
      <c r="AB12" s="377" t="s">
        <v>241</v>
      </c>
      <c r="AC12" s="377" t="s">
        <v>242</v>
      </c>
      <c r="AD12" s="377" t="s">
        <v>187</v>
      </c>
      <c r="AE12" s="377" t="s">
        <v>170</v>
      </c>
      <c r="AF12" s="377" t="s">
        <v>178</v>
      </c>
      <c r="AG12" s="377" t="s">
        <v>179</v>
      </c>
      <c r="AH12" s="382">
        <v>39.18</v>
      </c>
      <c r="AI12" s="382">
        <v>29542.400000000001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5">
        <v>1</v>
      </c>
      <c r="AQ12" s="385">
        <v>1</v>
      </c>
      <c r="AR12" s="383" t="s">
        <v>184</v>
      </c>
      <c r="AS12" s="387">
        <f t="shared" si="27"/>
        <v>1</v>
      </c>
      <c r="AT12">
        <f t="shared" si="28"/>
        <v>1</v>
      </c>
      <c r="AU12" s="387">
        <f>IF(AT12=0,"",IF(AND(AT12=1,M12="F",SUMIF(C2:C76,C12,AS2:AS76)&lt;=1),SUMIF(C2:C76,C12,AS2:AS76),IF(AND(AT12=1,M12="F",SUMIF(C2:C76,C12,AS2:AS76)&gt;1),1,"")))</f>
        <v>1</v>
      </c>
      <c r="AV12" s="387" t="str">
        <f>IF(AT12=0,"",IF(AND(AT12=3,M12="F",SUMIF(C2:C76,C12,AS2:AS76)&lt;=1),SUMIF(C2:C76,C12,AS2:AS76),IF(AND(AT12=3,M12="F",SUMIF(C2:C76,C12,AS2:AS76)&gt;1),1,"")))</f>
        <v/>
      </c>
      <c r="AW12" s="387">
        <f>SUMIF(C2:C76,C12,O2:O76)</f>
        <v>1</v>
      </c>
      <c r="AX12" s="387">
        <f>IF(AND(M12="F",AS12&lt;&gt;0),SUMIF(C2:C76,C12,W2:W76),0)</f>
        <v>81494.399999999994</v>
      </c>
      <c r="AY12" s="387">
        <f t="shared" si="29"/>
        <v>81494.399999999994</v>
      </c>
      <c r="AZ12" s="387" t="str">
        <f t="shared" si="30"/>
        <v/>
      </c>
      <c r="BA12" s="387">
        <f t="shared" si="31"/>
        <v>0</v>
      </c>
      <c r="BB12" s="387">
        <f t="shared" si="0"/>
        <v>12500</v>
      </c>
      <c r="BC12" s="387">
        <f t="shared" si="1"/>
        <v>0</v>
      </c>
      <c r="BD12" s="387">
        <f t="shared" si="2"/>
        <v>5052.6527999999998</v>
      </c>
      <c r="BE12" s="387">
        <f t="shared" si="3"/>
        <v>1181.6687999999999</v>
      </c>
      <c r="BF12" s="387">
        <f t="shared" si="4"/>
        <v>9730.4313600000005</v>
      </c>
      <c r="BG12" s="387">
        <f t="shared" si="5"/>
        <v>587.57462399999997</v>
      </c>
      <c r="BH12" s="387">
        <f t="shared" si="6"/>
        <v>0</v>
      </c>
      <c r="BI12" s="387">
        <f t="shared" si="7"/>
        <v>451.07150399999995</v>
      </c>
      <c r="BJ12" s="387">
        <f t="shared" si="8"/>
        <v>81.494399999999999</v>
      </c>
      <c r="BK12" s="387">
        <f t="shared" si="9"/>
        <v>0</v>
      </c>
      <c r="BL12" s="387">
        <f t="shared" si="32"/>
        <v>17084.893487999998</v>
      </c>
      <c r="BM12" s="387">
        <f t="shared" si="33"/>
        <v>0</v>
      </c>
      <c r="BN12" s="387">
        <f t="shared" si="10"/>
        <v>13750</v>
      </c>
      <c r="BO12" s="387">
        <f t="shared" si="11"/>
        <v>0</v>
      </c>
      <c r="BP12" s="387">
        <f t="shared" si="12"/>
        <v>5052.6527999999998</v>
      </c>
      <c r="BQ12" s="387">
        <f t="shared" si="13"/>
        <v>1181.6687999999999</v>
      </c>
      <c r="BR12" s="387">
        <f t="shared" si="14"/>
        <v>9111.0739199999989</v>
      </c>
      <c r="BS12" s="387">
        <f t="shared" si="15"/>
        <v>587.57462399999997</v>
      </c>
      <c r="BT12" s="387">
        <f t="shared" si="16"/>
        <v>0</v>
      </c>
      <c r="BU12" s="387">
        <f t="shared" si="17"/>
        <v>451.07150399999995</v>
      </c>
      <c r="BV12" s="387">
        <f t="shared" si="18"/>
        <v>105.94271999999999</v>
      </c>
      <c r="BW12" s="387">
        <f t="shared" si="19"/>
        <v>0</v>
      </c>
      <c r="BX12" s="387">
        <f t="shared" si="34"/>
        <v>16489.984367999998</v>
      </c>
      <c r="BY12" s="387">
        <f t="shared" si="35"/>
        <v>0</v>
      </c>
      <c r="BZ12" s="387">
        <f t="shared" si="36"/>
        <v>1250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-619.35744000000068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24.448319999999992</v>
      </c>
      <c r="CI12" s="387">
        <f t="shared" si="26"/>
        <v>0</v>
      </c>
      <c r="CJ12" s="387">
        <f t="shared" si="39"/>
        <v>-594.90912000000071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0229-00</v>
      </c>
    </row>
    <row r="13" spans="1:92" ht="15.75" thickBot="1" x14ac:dyDescent="0.3">
      <c r="A13" s="377" t="s">
        <v>162</v>
      </c>
      <c r="B13" s="377" t="s">
        <v>163</v>
      </c>
      <c r="C13" s="377" t="s">
        <v>243</v>
      </c>
      <c r="D13" s="377" t="s">
        <v>165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170</v>
      </c>
      <c r="L13" s="377" t="s">
        <v>171</v>
      </c>
      <c r="M13" s="377" t="s">
        <v>172</v>
      </c>
      <c r="N13" s="377" t="s">
        <v>173</v>
      </c>
      <c r="O13" s="380">
        <v>1</v>
      </c>
      <c r="P13" s="385">
        <v>1</v>
      </c>
      <c r="Q13" s="385">
        <v>1</v>
      </c>
      <c r="R13" s="381">
        <v>80</v>
      </c>
      <c r="S13" s="385">
        <v>1</v>
      </c>
      <c r="T13" s="381">
        <v>67872.009999999995</v>
      </c>
      <c r="U13" s="381">
        <v>0</v>
      </c>
      <c r="V13" s="381">
        <v>25720.42</v>
      </c>
      <c r="W13" s="381">
        <v>71448</v>
      </c>
      <c r="X13" s="381">
        <v>27479.03</v>
      </c>
      <c r="Y13" s="381">
        <v>71448</v>
      </c>
      <c r="Z13" s="381">
        <v>28207.46</v>
      </c>
      <c r="AA13" s="377" t="s">
        <v>244</v>
      </c>
      <c r="AB13" s="377" t="s">
        <v>245</v>
      </c>
      <c r="AC13" s="377" t="s">
        <v>246</v>
      </c>
      <c r="AD13" s="377" t="s">
        <v>247</v>
      </c>
      <c r="AE13" s="377" t="s">
        <v>211</v>
      </c>
      <c r="AF13" s="377" t="s">
        <v>212</v>
      </c>
      <c r="AG13" s="377" t="s">
        <v>179</v>
      </c>
      <c r="AH13" s="382">
        <v>34.35</v>
      </c>
      <c r="AI13" s="380">
        <v>14572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5">
        <v>1</v>
      </c>
      <c r="AQ13" s="385">
        <v>1</v>
      </c>
      <c r="AR13" s="383">
        <v>3</v>
      </c>
      <c r="AS13" s="387">
        <f t="shared" si="27"/>
        <v>1</v>
      </c>
      <c r="AT13">
        <f t="shared" si="28"/>
        <v>1</v>
      </c>
      <c r="AU13" s="387">
        <f>IF(AT13=0,"",IF(AND(AT13=1,M13="F",SUMIF(C2:C76,C13,AS2:AS76)&lt;=1),SUMIF(C2:C76,C13,AS2:AS76),IF(AND(AT13=1,M13="F",SUMIF(C2:C76,C13,AS2:AS76)&gt;1),1,"")))</f>
        <v>1</v>
      </c>
      <c r="AV13" s="387" t="str">
        <f>IF(AT13=0,"",IF(AND(AT13=3,M13="F",SUMIF(C2:C76,C13,AS2:AS76)&lt;=1),SUMIF(C2:C76,C13,AS2:AS76),IF(AND(AT13=3,M13="F",SUMIF(C2:C76,C13,AS2:AS76)&gt;1),1,"")))</f>
        <v/>
      </c>
      <c r="AW13" s="387">
        <f>SUMIF(C2:C76,C13,O2:O76)</f>
        <v>1</v>
      </c>
      <c r="AX13" s="387">
        <f>IF(AND(M13="F",AS13&lt;&gt;0),SUMIF(C2:C76,C13,W2:W76),0)</f>
        <v>71448</v>
      </c>
      <c r="AY13" s="387">
        <f t="shared" si="29"/>
        <v>71448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4429.7759999999998</v>
      </c>
      <c r="BE13" s="387">
        <f t="shared" si="3"/>
        <v>1035.9960000000001</v>
      </c>
      <c r="BF13" s="387">
        <f t="shared" si="4"/>
        <v>8530.8912</v>
      </c>
      <c r="BG13" s="387">
        <f t="shared" si="5"/>
        <v>515.14008000000001</v>
      </c>
      <c r="BH13" s="387">
        <f t="shared" si="6"/>
        <v>0</v>
      </c>
      <c r="BI13" s="387">
        <f t="shared" si="7"/>
        <v>395.46467999999999</v>
      </c>
      <c r="BJ13" s="387">
        <f t="shared" si="8"/>
        <v>71.448000000000008</v>
      </c>
      <c r="BK13" s="387">
        <f t="shared" si="9"/>
        <v>0</v>
      </c>
      <c r="BL13" s="387">
        <f t="shared" si="32"/>
        <v>14978.715959999998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4429.7759999999998</v>
      </c>
      <c r="BQ13" s="387">
        <f t="shared" si="13"/>
        <v>1035.9960000000001</v>
      </c>
      <c r="BR13" s="387">
        <f t="shared" si="14"/>
        <v>7987.8863999999994</v>
      </c>
      <c r="BS13" s="387">
        <f t="shared" si="15"/>
        <v>515.14008000000001</v>
      </c>
      <c r="BT13" s="387">
        <f t="shared" si="16"/>
        <v>0</v>
      </c>
      <c r="BU13" s="387">
        <f t="shared" si="17"/>
        <v>395.46467999999999</v>
      </c>
      <c r="BV13" s="387">
        <f t="shared" si="18"/>
        <v>92.88239999999999</v>
      </c>
      <c r="BW13" s="387">
        <f t="shared" si="19"/>
        <v>0</v>
      </c>
      <c r="BX13" s="387">
        <f t="shared" si="34"/>
        <v>14457.145559999999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-543.00480000000073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21.434399999999993</v>
      </c>
      <c r="CI13" s="387">
        <f t="shared" si="26"/>
        <v>0</v>
      </c>
      <c r="CJ13" s="387">
        <f t="shared" si="39"/>
        <v>-521.57040000000075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0229-00</v>
      </c>
    </row>
    <row r="14" spans="1:92" ht="15.75" thickBot="1" x14ac:dyDescent="0.3">
      <c r="A14" s="377" t="s">
        <v>162</v>
      </c>
      <c r="B14" s="377" t="s">
        <v>163</v>
      </c>
      <c r="C14" s="377" t="s">
        <v>248</v>
      </c>
      <c r="D14" s="377" t="s">
        <v>165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186</v>
      </c>
      <c r="K14" s="377" t="s">
        <v>214</v>
      </c>
      <c r="L14" s="377" t="s">
        <v>191</v>
      </c>
      <c r="M14" s="377" t="s">
        <v>172</v>
      </c>
      <c r="N14" s="377" t="s">
        <v>173</v>
      </c>
      <c r="O14" s="380">
        <v>1</v>
      </c>
      <c r="P14" s="385">
        <v>1</v>
      </c>
      <c r="Q14" s="385">
        <v>1</v>
      </c>
      <c r="R14" s="381">
        <v>80</v>
      </c>
      <c r="S14" s="385">
        <v>1</v>
      </c>
      <c r="T14" s="381">
        <v>0</v>
      </c>
      <c r="U14" s="381">
        <v>0</v>
      </c>
      <c r="V14" s="381">
        <v>0</v>
      </c>
      <c r="W14" s="381">
        <v>92643.199999999997</v>
      </c>
      <c r="X14" s="381">
        <v>31922.61</v>
      </c>
      <c r="Y14" s="381">
        <v>92643.199999999997</v>
      </c>
      <c r="Z14" s="381">
        <v>32496.31</v>
      </c>
      <c r="AA14" s="377" t="s">
        <v>249</v>
      </c>
      <c r="AB14" s="377" t="s">
        <v>250</v>
      </c>
      <c r="AC14" s="377" t="s">
        <v>251</v>
      </c>
      <c r="AD14" s="377" t="s">
        <v>252</v>
      </c>
      <c r="AE14" s="377" t="s">
        <v>214</v>
      </c>
      <c r="AF14" s="377" t="s">
        <v>196</v>
      </c>
      <c r="AG14" s="377" t="s">
        <v>179</v>
      </c>
      <c r="AH14" s="382">
        <v>44.54</v>
      </c>
      <c r="AI14" s="382">
        <v>10959.5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5">
        <v>1</v>
      </c>
      <c r="AQ14" s="385">
        <v>1</v>
      </c>
      <c r="AR14" s="383" t="s">
        <v>184</v>
      </c>
      <c r="AS14" s="387">
        <f t="shared" si="27"/>
        <v>1</v>
      </c>
      <c r="AT14">
        <f t="shared" si="28"/>
        <v>1</v>
      </c>
      <c r="AU14" s="387">
        <f>IF(AT14=0,"",IF(AND(AT14=1,M14="F",SUMIF(C2:C76,C14,AS2:AS76)&lt;=1),SUMIF(C2:C76,C14,AS2:AS76),IF(AND(AT14=1,M14="F",SUMIF(C2:C76,C14,AS2:AS76)&gt;1),1,"")))</f>
        <v>1</v>
      </c>
      <c r="AV14" s="387" t="str">
        <f>IF(AT14=0,"",IF(AND(AT14=3,M14="F",SUMIF(C2:C76,C14,AS2:AS76)&lt;=1),SUMIF(C2:C76,C14,AS2:AS76),IF(AND(AT14=3,M14="F",SUMIF(C2:C76,C14,AS2:AS76)&gt;1),1,"")))</f>
        <v/>
      </c>
      <c r="AW14" s="387">
        <f>SUMIF(C2:C76,C14,O2:O76)</f>
        <v>1</v>
      </c>
      <c r="AX14" s="387">
        <f>IF(AND(M14="F",AS14&lt;&gt;0),SUMIF(C2:C76,C14,W2:W76),0)</f>
        <v>92643.199999999997</v>
      </c>
      <c r="AY14" s="387">
        <f t="shared" si="29"/>
        <v>92643.199999999997</v>
      </c>
      <c r="AZ14" s="387" t="str">
        <f t="shared" si="30"/>
        <v/>
      </c>
      <c r="BA14" s="387">
        <f t="shared" si="31"/>
        <v>0</v>
      </c>
      <c r="BB14" s="387">
        <f t="shared" si="0"/>
        <v>12500</v>
      </c>
      <c r="BC14" s="387">
        <f t="shared" si="1"/>
        <v>0</v>
      </c>
      <c r="BD14" s="387">
        <f t="shared" si="2"/>
        <v>5743.8783999999996</v>
      </c>
      <c r="BE14" s="387">
        <f t="shared" si="3"/>
        <v>1343.3263999999999</v>
      </c>
      <c r="BF14" s="387">
        <f t="shared" si="4"/>
        <v>11061.59808</v>
      </c>
      <c r="BG14" s="387">
        <f t="shared" si="5"/>
        <v>667.95747200000005</v>
      </c>
      <c r="BH14" s="387">
        <f t="shared" si="6"/>
        <v>0</v>
      </c>
      <c r="BI14" s="387">
        <f t="shared" si="7"/>
        <v>512.78011200000003</v>
      </c>
      <c r="BJ14" s="387">
        <f t="shared" si="8"/>
        <v>92.643199999999993</v>
      </c>
      <c r="BK14" s="387">
        <f t="shared" si="9"/>
        <v>0</v>
      </c>
      <c r="BL14" s="387">
        <f t="shared" si="32"/>
        <v>19422.183663999996</v>
      </c>
      <c r="BM14" s="387">
        <f t="shared" si="33"/>
        <v>0</v>
      </c>
      <c r="BN14" s="387">
        <f t="shared" si="10"/>
        <v>13750</v>
      </c>
      <c r="BO14" s="387">
        <f t="shared" si="11"/>
        <v>0</v>
      </c>
      <c r="BP14" s="387">
        <f t="shared" si="12"/>
        <v>5743.8783999999996</v>
      </c>
      <c r="BQ14" s="387">
        <f t="shared" si="13"/>
        <v>1343.3263999999999</v>
      </c>
      <c r="BR14" s="387">
        <f t="shared" si="14"/>
        <v>10357.509759999999</v>
      </c>
      <c r="BS14" s="387">
        <f t="shared" si="15"/>
        <v>667.95747200000005</v>
      </c>
      <c r="BT14" s="387">
        <f t="shared" si="16"/>
        <v>0</v>
      </c>
      <c r="BU14" s="387">
        <f t="shared" si="17"/>
        <v>512.78011200000003</v>
      </c>
      <c r="BV14" s="387">
        <f t="shared" si="18"/>
        <v>120.43615999999999</v>
      </c>
      <c r="BW14" s="387">
        <f t="shared" si="19"/>
        <v>0</v>
      </c>
      <c r="BX14" s="387">
        <f t="shared" si="34"/>
        <v>18745.888304000004</v>
      </c>
      <c r="BY14" s="387">
        <f t="shared" si="35"/>
        <v>0</v>
      </c>
      <c r="BZ14" s="387">
        <f t="shared" si="36"/>
        <v>1250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-704.08832000000086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27.79295999999999</v>
      </c>
      <c r="CI14" s="387">
        <f t="shared" si="26"/>
        <v>0</v>
      </c>
      <c r="CJ14" s="387">
        <f t="shared" si="39"/>
        <v>-676.29536000000087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0229-00</v>
      </c>
    </row>
    <row r="15" spans="1:92" ht="15.75" thickBot="1" x14ac:dyDescent="0.3">
      <c r="A15" s="377" t="s">
        <v>162</v>
      </c>
      <c r="B15" s="377" t="s">
        <v>163</v>
      </c>
      <c r="C15" s="377" t="s">
        <v>253</v>
      </c>
      <c r="D15" s="377" t="s">
        <v>165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214</v>
      </c>
      <c r="L15" s="377" t="s">
        <v>191</v>
      </c>
      <c r="M15" s="377" t="s">
        <v>172</v>
      </c>
      <c r="N15" s="377" t="s">
        <v>173</v>
      </c>
      <c r="O15" s="380">
        <v>1</v>
      </c>
      <c r="P15" s="385">
        <v>1</v>
      </c>
      <c r="Q15" s="385">
        <v>1</v>
      </c>
      <c r="R15" s="381">
        <v>80</v>
      </c>
      <c r="S15" s="385">
        <v>1</v>
      </c>
      <c r="T15" s="381">
        <v>93096.5</v>
      </c>
      <c r="U15" s="381">
        <v>0</v>
      </c>
      <c r="V15" s="381">
        <v>31411.25</v>
      </c>
      <c r="W15" s="381">
        <v>97052.800000000003</v>
      </c>
      <c r="X15" s="381">
        <v>32847.089999999997</v>
      </c>
      <c r="Y15" s="381">
        <v>97052.800000000003</v>
      </c>
      <c r="Z15" s="381">
        <v>33388.6</v>
      </c>
      <c r="AA15" s="377" t="s">
        <v>254</v>
      </c>
      <c r="AB15" s="377" t="s">
        <v>255</v>
      </c>
      <c r="AC15" s="377" t="s">
        <v>256</v>
      </c>
      <c r="AD15" s="377" t="s">
        <v>257</v>
      </c>
      <c r="AE15" s="377" t="s">
        <v>214</v>
      </c>
      <c r="AF15" s="377" t="s">
        <v>196</v>
      </c>
      <c r="AG15" s="377" t="s">
        <v>179</v>
      </c>
      <c r="AH15" s="382">
        <v>46.66</v>
      </c>
      <c r="AI15" s="382">
        <v>22615.1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5">
        <v>1</v>
      </c>
      <c r="AQ15" s="385">
        <v>1</v>
      </c>
      <c r="AR15" s="383" t="s">
        <v>184</v>
      </c>
      <c r="AS15" s="387">
        <f t="shared" si="27"/>
        <v>1</v>
      </c>
      <c r="AT15">
        <f t="shared" si="28"/>
        <v>1</v>
      </c>
      <c r="AU15" s="387">
        <f>IF(AT15=0,"",IF(AND(AT15=1,M15="F",SUMIF(C2:C76,C15,AS2:AS76)&lt;=1),SUMIF(C2:C76,C15,AS2:AS76),IF(AND(AT15=1,M15="F",SUMIF(C2:C76,C15,AS2:AS76)&gt;1),1,"")))</f>
        <v>1</v>
      </c>
      <c r="AV15" s="387" t="str">
        <f>IF(AT15=0,"",IF(AND(AT15=3,M15="F",SUMIF(C2:C76,C15,AS2:AS76)&lt;=1),SUMIF(C2:C76,C15,AS2:AS76),IF(AND(AT15=3,M15="F",SUMIF(C2:C76,C15,AS2:AS76)&gt;1),1,"")))</f>
        <v/>
      </c>
      <c r="AW15" s="387">
        <f>SUMIF(C2:C76,C15,O2:O76)</f>
        <v>1</v>
      </c>
      <c r="AX15" s="387">
        <f>IF(AND(M15="F",AS15&lt;&gt;0),SUMIF(C2:C76,C15,W2:W76),0)</f>
        <v>97052.800000000003</v>
      </c>
      <c r="AY15" s="387">
        <f t="shared" si="29"/>
        <v>97052.800000000003</v>
      </c>
      <c r="AZ15" s="387" t="str">
        <f t="shared" si="30"/>
        <v/>
      </c>
      <c r="BA15" s="387">
        <f t="shared" si="31"/>
        <v>0</v>
      </c>
      <c r="BB15" s="387">
        <f t="shared" si="0"/>
        <v>12500</v>
      </c>
      <c r="BC15" s="387">
        <f t="shared" si="1"/>
        <v>0</v>
      </c>
      <c r="BD15" s="387">
        <f t="shared" si="2"/>
        <v>6017.2736000000004</v>
      </c>
      <c r="BE15" s="387">
        <f t="shared" si="3"/>
        <v>1407.2656000000002</v>
      </c>
      <c r="BF15" s="387">
        <f t="shared" si="4"/>
        <v>11588.10432</v>
      </c>
      <c r="BG15" s="387">
        <f t="shared" si="5"/>
        <v>699.75068800000008</v>
      </c>
      <c r="BH15" s="387">
        <f t="shared" si="6"/>
        <v>0</v>
      </c>
      <c r="BI15" s="387">
        <f t="shared" si="7"/>
        <v>537.18724800000007</v>
      </c>
      <c r="BJ15" s="387">
        <f t="shared" si="8"/>
        <v>97.052800000000005</v>
      </c>
      <c r="BK15" s="387">
        <f t="shared" si="9"/>
        <v>0</v>
      </c>
      <c r="BL15" s="387">
        <f t="shared" si="32"/>
        <v>20346.634256000001</v>
      </c>
      <c r="BM15" s="387">
        <f t="shared" si="33"/>
        <v>0</v>
      </c>
      <c r="BN15" s="387">
        <f t="shared" si="10"/>
        <v>13750</v>
      </c>
      <c r="BO15" s="387">
        <f t="shared" si="11"/>
        <v>0</v>
      </c>
      <c r="BP15" s="387">
        <f t="shared" si="12"/>
        <v>6017.2736000000004</v>
      </c>
      <c r="BQ15" s="387">
        <f t="shared" si="13"/>
        <v>1407.2656000000002</v>
      </c>
      <c r="BR15" s="387">
        <f t="shared" si="14"/>
        <v>10850.50304</v>
      </c>
      <c r="BS15" s="387">
        <f t="shared" si="15"/>
        <v>699.75068800000008</v>
      </c>
      <c r="BT15" s="387">
        <f t="shared" si="16"/>
        <v>0</v>
      </c>
      <c r="BU15" s="387">
        <f t="shared" si="17"/>
        <v>537.18724800000007</v>
      </c>
      <c r="BV15" s="387">
        <f t="shared" si="18"/>
        <v>126.16864</v>
      </c>
      <c r="BW15" s="387">
        <f t="shared" si="19"/>
        <v>0</v>
      </c>
      <c r="BX15" s="387">
        <f t="shared" si="34"/>
        <v>19638.148816000001</v>
      </c>
      <c r="BY15" s="387">
        <f t="shared" si="35"/>
        <v>0</v>
      </c>
      <c r="BZ15" s="387">
        <f t="shared" si="36"/>
        <v>1250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-737.601280000001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29.115839999999992</v>
      </c>
      <c r="CI15" s="387">
        <f t="shared" si="26"/>
        <v>0</v>
      </c>
      <c r="CJ15" s="387">
        <f t="shared" si="39"/>
        <v>-708.48544000000106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0229-00</v>
      </c>
    </row>
    <row r="16" spans="1:92" ht="15.75" thickBot="1" x14ac:dyDescent="0.3">
      <c r="A16" s="377" t="s">
        <v>162</v>
      </c>
      <c r="B16" s="377" t="s">
        <v>163</v>
      </c>
      <c r="C16" s="377" t="s">
        <v>258</v>
      </c>
      <c r="D16" s="377" t="s">
        <v>165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186</v>
      </c>
      <c r="K16" s="377" t="s">
        <v>170</v>
      </c>
      <c r="L16" s="377" t="s">
        <v>171</v>
      </c>
      <c r="M16" s="377" t="s">
        <v>172</v>
      </c>
      <c r="N16" s="377" t="s">
        <v>173</v>
      </c>
      <c r="O16" s="380">
        <v>1</v>
      </c>
      <c r="P16" s="385">
        <v>1</v>
      </c>
      <c r="Q16" s="385">
        <v>1</v>
      </c>
      <c r="R16" s="381">
        <v>80</v>
      </c>
      <c r="S16" s="385">
        <v>1</v>
      </c>
      <c r="T16" s="381">
        <v>58648.04</v>
      </c>
      <c r="U16" s="381">
        <v>0</v>
      </c>
      <c r="V16" s="381">
        <v>24225.15</v>
      </c>
      <c r="W16" s="381">
        <v>68452.800000000003</v>
      </c>
      <c r="X16" s="381">
        <v>26851.1</v>
      </c>
      <c r="Y16" s="381">
        <v>68452.800000000003</v>
      </c>
      <c r="Z16" s="381">
        <v>27601.39</v>
      </c>
      <c r="AA16" s="377" t="s">
        <v>259</v>
      </c>
      <c r="AB16" s="377" t="s">
        <v>260</v>
      </c>
      <c r="AC16" s="377" t="s">
        <v>261</v>
      </c>
      <c r="AD16" s="377" t="s">
        <v>262</v>
      </c>
      <c r="AE16" s="377" t="s">
        <v>211</v>
      </c>
      <c r="AF16" s="377" t="s">
        <v>212</v>
      </c>
      <c r="AG16" s="377" t="s">
        <v>179</v>
      </c>
      <c r="AH16" s="382">
        <v>32.909999999999997</v>
      </c>
      <c r="AI16" s="382">
        <v>3672.4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5">
        <v>1</v>
      </c>
      <c r="AQ16" s="385">
        <v>1</v>
      </c>
      <c r="AR16" s="383" t="s">
        <v>184</v>
      </c>
      <c r="AS16" s="387">
        <f t="shared" si="27"/>
        <v>1</v>
      </c>
      <c r="AT16">
        <f t="shared" si="28"/>
        <v>1</v>
      </c>
      <c r="AU16" s="387">
        <f>IF(AT16=0,"",IF(AND(AT16=1,M16="F",SUMIF(C2:C76,C16,AS2:AS76)&lt;=1),SUMIF(C2:C76,C16,AS2:AS76),IF(AND(AT16=1,M16="F",SUMIF(C2:C76,C16,AS2:AS76)&gt;1),1,"")))</f>
        <v>1</v>
      </c>
      <c r="AV16" s="387" t="str">
        <f>IF(AT16=0,"",IF(AND(AT16=3,M16="F",SUMIF(C2:C76,C16,AS2:AS76)&lt;=1),SUMIF(C2:C76,C16,AS2:AS76),IF(AND(AT16=3,M16="F",SUMIF(C2:C76,C16,AS2:AS76)&gt;1),1,"")))</f>
        <v/>
      </c>
      <c r="AW16" s="387">
        <f>SUMIF(C2:C76,C16,O2:O76)</f>
        <v>1</v>
      </c>
      <c r="AX16" s="387">
        <f>IF(AND(M16="F",AS16&lt;&gt;0),SUMIF(C2:C76,C16,W2:W76),0)</f>
        <v>68452.800000000003</v>
      </c>
      <c r="AY16" s="387">
        <f t="shared" si="29"/>
        <v>68452.800000000003</v>
      </c>
      <c r="AZ16" s="387" t="str">
        <f t="shared" si="30"/>
        <v/>
      </c>
      <c r="BA16" s="387">
        <f t="shared" si="31"/>
        <v>0</v>
      </c>
      <c r="BB16" s="387">
        <f t="shared" si="0"/>
        <v>12500</v>
      </c>
      <c r="BC16" s="387">
        <f t="shared" si="1"/>
        <v>0</v>
      </c>
      <c r="BD16" s="387">
        <f t="shared" si="2"/>
        <v>4244.0735999999997</v>
      </c>
      <c r="BE16" s="387">
        <f t="shared" si="3"/>
        <v>992.56560000000013</v>
      </c>
      <c r="BF16" s="387">
        <f t="shared" si="4"/>
        <v>8173.2643200000011</v>
      </c>
      <c r="BG16" s="387">
        <f t="shared" si="5"/>
        <v>493.54468800000006</v>
      </c>
      <c r="BH16" s="387">
        <f t="shared" si="6"/>
        <v>0</v>
      </c>
      <c r="BI16" s="387">
        <f t="shared" si="7"/>
        <v>378.88624800000002</v>
      </c>
      <c r="BJ16" s="387">
        <f t="shared" si="8"/>
        <v>68.452800000000011</v>
      </c>
      <c r="BK16" s="387">
        <f t="shared" si="9"/>
        <v>0</v>
      </c>
      <c r="BL16" s="387">
        <f t="shared" si="32"/>
        <v>14350.787256</v>
      </c>
      <c r="BM16" s="387">
        <f t="shared" si="33"/>
        <v>0</v>
      </c>
      <c r="BN16" s="387">
        <f t="shared" si="10"/>
        <v>13750</v>
      </c>
      <c r="BO16" s="387">
        <f t="shared" si="11"/>
        <v>0</v>
      </c>
      <c r="BP16" s="387">
        <f t="shared" si="12"/>
        <v>4244.0735999999997</v>
      </c>
      <c r="BQ16" s="387">
        <f t="shared" si="13"/>
        <v>992.56560000000013</v>
      </c>
      <c r="BR16" s="387">
        <f t="shared" si="14"/>
        <v>7653.02304</v>
      </c>
      <c r="BS16" s="387">
        <f t="shared" si="15"/>
        <v>493.54468800000006</v>
      </c>
      <c r="BT16" s="387">
        <f t="shared" si="16"/>
        <v>0</v>
      </c>
      <c r="BU16" s="387">
        <f t="shared" si="17"/>
        <v>378.88624800000002</v>
      </c>
      <c r="BV16" s="387">
        <f t="shared" si="18"/>
        <v>88.988640000000004</v>
      </c>
      <c r="BW16" s="387">
        <f t="shared" si="19"/>
        <v>0</v>
      </c>
      <c r="BX16" s="387">
        <f t="shared" si="34"/>
        <v>13851.081816</v>
      </c>
      <c r="BY16" s="387">
        <f t="shared" si="35"/>
        <v>0</v>
      </c>
      <c r="BZ16" s="387">
        <f t="shared" si="36"/>
        <v>1250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-520.24128000000064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20.535839999999997</v>
      </c>
      <c r="CI16" s="387">
        <f t="shared" si="26"/>
        <v>0</v>
      </c>
      <c r="CJ16" s="387">
        <f t="shared" si="39"/>
        <v>-499.70544000000064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0229-00</v>
      </c>
    </row>
    <row r="17" spans="1:92" ht="15.75" thickBot="1" x14ac:dyDescent="0.3">
      <c r="A17" s="377" t="s">
        <v>162</v>
      </c>
      <c r="B17" s="377" t="s">
        <v>163</v>
      </c>
      <c r="C17" s="377" t="s">
        <v>263</v>
      </c>
      <c r="D17" s="377" t="s">
        <v>165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214</v>
      </c>
      <c r="L17" s="377" t="s">
        <v>191</v>
      </c>
      <c r="M17" s="377" t="s">
        <v>172</v>
      </c>
      <c r="N17" s="377" t="s">
        <v>173</v>
      </c>
      <c r="O17" s="380">
        <v>1</v>
      </c>
      <c r="P17" s="385">
        <v>1</v>
      </c>
      <c r="Q17" s="385">
        <v>1</v>
      </c>
      <c r="R17" s="381">
        <v>80</v>
      </c>
      <c r="S17" s="385">
        <v>1</v>
      </c>
      <c r="T17" s="381">
        <v>95934.07</v>
      </c>
      <c r="U17" s="381">
        <v>0</v>
      </c>
      <c r="V17" s="381">
        <v>31401.73</v>
      </c>
      <c r="W17" s="381">
        <v>92643.199999999997</v>
      </c>
      <c r="X17" s="381">
        <v>31922.6</v>
      </c>
      <c r="Y17" s="381">
        <v>92643.199999999997</v>
      </c>
      <c r="Z17" s="381">
        <v>32496.29</v>
      </c>
      <c r="AA17" s="377" t="s">
        <v>264</v>
      </c>
      <c r="AB17" s="377" t="s">
        <v>265</v>
      </c>
      <c r="AC17" s="377" t="s">
        <v>266</v>
      </c>
      <c r="AD17" s="377" t="s">
        <v>179</v>
      </c>
      <c r="AE17" s="377" t="s">
        <v>214</v>
      </c>
      <c r="AF17" s="377" t="s">
        <v>196</v>
      </c>
      <c r="AG17" s="377" t="s">
        <v>179</v>
      </c>
      <c r="AH17" s="382">
        <v>44.54</v>
      </c>
      <c r="AI17" s="382">
        <v>28324.5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5">
        <v>1</v>
      </c>
      <c r="AQ17" s="385">
        <v>1</v>
      </c>
      <c r="AR17" s="383" t="s">
        <v>184</v>
      </c>
      <c r="AS17" s="387">
        <f t="shared" si="27"/>
        <v>1</v>
      </c>
      <c r="AT17">
        <f t="shared" si="28"/>
        <v>1</v>
      </c>
      <c r="AU17" s="387">
        <f>IF(AT17=0,"",IF(AND(AT17=1,M17="F",SUMIF(C2:C76,C17,AS2:AS76)&lt;=1),SUMIF(C2:C76,C17,AS2:AS76),IF(AND(AT17=1,M17="F",SUMIF(C2:C76,C17,AS2:AS76)&gt;1),1,"")))</f>
        <v>1</v>
      </c>
      <c r="AV17" s="387" t="str">
        <f>IF(AT17=0,"",IF(AND(AT17=3,M17="F",SUMIF(C2:C76,C17,AS2:AS76)&lt;=1),SUMIF(C2:C76,C17,AS2:AS76),IF(AND(AT17=3,M17="F",SUMIF(C2:C76,C17,AS2:AS76)&gt;1),1,"")))</f>
        <v/>
      </c>
      <c r="AW17" s="387">
        <f>SUMIF(C2:C76,C17,O2:O76)</f>
        <v>1</v>
      </c>
      <c r="AX17" s="387">
        <f>IF(AND(M17="F",AS17&lt;&gt;0),SUMIF(C2:C76,C17,W2:W76),0)</f>
        <v>92643.199999999997</v>
      </c>
      <c r="AY17" s="387">
        <f t="shared" si="29"/>
        <v>92643.199999999997</v>
      </c>
      <c r="AZ17" s="387" t="str">
        <f t="shared" si="30"/>
        <v/>
      </c>
      <c r="BA17" s="387">
        <f t="shared" si="31"/>
        <v>0</v>
      </c>
      <c r="BB17" s="387">
        <f t="shared" si="0"/>
        <v>12500</v>
      </c>
      <c r="BC17" s="387">
        <f t="shared" si="1"/>
        <v>0</v>
      </c>
      <c r="BD17" s="387">
        <f t="shared" si="2"/>
        <v>5743.8783999999996</v>
      </c>
      <c r="BE17" s="387">
        <f t="shared" si="3"/>
        <v>1343.3263999999999</v>
      </c>
      <c r="BF17" s="387">
        <f t="shared" si="4"/>
        <v>11061.59808</v>
      </c>
      <c r="BG17" s="387">
        <f t="shared" si="5"/>
        <v>667.95747200000005</v>
      </c>
      <c r="BH17" s="387">
        <f t="shared" si="6"/>
        <v>0</v>
      </c>
      <c r="BI17" s="387">
        <f t="shared" si="7"/>
        <v>512.78011200000003</v>
      </c>
      <c r="BJ17" s="387">
        <f t="shared" si="8"/>
        <v>92.643199999999993</v>
      </c>
      <c r="BK17" s="387">
        <f t="shared" si="9"/>
        <v>0</v>
      </c>
      <c r="BL17" s="387">
        <f t="shared" si="32"/>
        <v>19422.183663999996</v>
      </c>
      <c r="BM17" s="387">
        <f t="shared" si="33"/>
        <v>0</v>
      </c>
      <c r="BN17" s="387">
        <f t="shared" si="10"/>
        <v>13750</v>
      </c>
      <c r="BO17" s="387">
        <f t="shared" si="11"/>
        <v>0</v>
      </c>
      <c r="BP17" s="387">
        <f t="shared" si="12"/>
        <v>5743.8783999999996</v>
      </c>
      <c r="BQ17" s="387">
        <f t="shared" si="13"/>
        <v>1343.3263999999999</v>
      </c>
      <c r="BR17" s="387">
        <f t="shared" si="14"/>
        <v>10357.509759999999</v>
      </c>
      <c r="BS17" s="387">
        <f t="shared" si="15"/>
        <v>667.95747200000005</v>
      </c>
      <c r="BT17" s="387">
        <f t="shared" si="16"/>
        <v>0</v>
      </c>
      <c r="BU17" s="387">
        <f t="shared" si="17"/>
        <v>512.78011200000003</v>
      </c>
      <c r="BV17" s="387">
        <f t="shared" si="18"/>
        <v>120.43615999999999</v>
      </c>
      <c r="BW17" s="387">
        <f t="shared" si="19"/>
        <v>0</v>
      </c>
      <c r="BX17" s="387">
        <f t="shared" si="34"/>
        <v>18745.888304000004</v>
      </c>
      <c r="BY17" s="387">
        <f t="shared" si="35"/>
        <v>0</v>
      </c>
      <c r="BZ17" s="387">
        <f t="shared" si="36"/>
        <v>1250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-704.08832000000086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27.79295999999999</v>
      </c>
      <c r="CI17" s="387">
        <f t="shared" si="26"/>
        <v>0</v>
      </c>
      <c r="CJ17" s="387">
        <f t="shared" si="39"/>
        <v>-676.29536000000087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0229-00</v>
      </c>
    </row>
    <row r="18" spans="1:92" ht="15.75" thickBot="1" x14ac:dyDescent="0.3">
      <c r="A18" s="377" t="s">
        <v>162</v>
      </c>
      <c r="B18" s="377" t="s">
        <v>163</v>
      </c>
      <c r="C18" s="377" t="s">
        <v>267</v>
      </c>
      <c r="D18" s="377" t="s">
        <v>165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186</v>
      </c>
      <c r="K18" s="377" t="s">
        <v>170</v>
      </c>
      <c r="L18" s="377" t="s">
        <v>171</v>
      </c>
      <c r="M18" s="377" t="s">
        <v>172</v>
      </c>
      <c r="N18" s="377" t="s">
        <v>173</v>
      </c>
      <c r="O18" s="380">
        <v>1</v>
      </c>
      <c r="P18" s="385">
        <v>1</v>
      </c>
      <c r="Q18" s="385">
        <v>1</v>
      </c>
      <c r="R18" s="381">
        <v>80</v>
      </c>
      <c r="S18" s="385">
        <v>1</v>
      </c>
      <c r="T18" s="381">
        <v>58648</v>
      </c>
      <c r="U18" s="381">
        <v>0</v>
      </c>
      <c r="V18" s="381">
        <v>24086.92</v>
      </c>
      <c r="W18" s="381">
        <v>68452.800000000003</v>
      </c>
      <c r="X18" s="381">
        <v>26851.1</v>
      </c>
      <c r="Y18" s="381">
        <v>68452.800000000003</v>
      </c>
      <c r="Z18" s="381">
        <v>27601.39</v>
      </c>
      <c r="AA18" s="377" t="s">
        <v>268</v>
      </c>
      <c r="AB18" s="377" t="s">
        <v>269</v>
      </c>
      <c r="AC18" s="377" t="s">
        <v>270</v>
      </c>
      <c r="AD18" s="377" t="s">
        <v>218</v>
      </c>
      <c r="AE18" s="377" t="s">
        <v>211</v>
      </c>
      <c r="AF18" s="377" t="s">
        <v>212</v>
      </c>
      <c r="AG18" s="377" t="s">
        <v>179</v>
      </c>
      <c r="AH18" s="382">
        <v>32.909999999999997</v>
      </c>
      <c r="AI18" s="382">
        <v>14124.4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5">
        <v>1</v>
      </c>
      <c r="AQ18" s="385">
        <v>1</v>
      </c>
      <c r="AR18" s="383" t="s">
        <v>184</v>
      </c>
      <c r="AS18" s="387">
        <f t="shared" si="27"/>
        <v>1</v>
      </c>
      <c r="AT18">
        <f t="shared" si="28"/>
        <v>1</v>
      </c>
      <c r="AU18" s="387">
        <f>IF(AT18=0,"",IF(AND(AT18=1,M18="F",SUMIF(C2:C76,C18,AS2:AS76)&lt;=1),SUMIF(C2:C76,C18,AS2:AS76),IF(AND(AT18=1,M18="F",SUMIF(C2:C76,C18,AS2:AS76)&gt;1),1,"")))</f>
        <v>1</v>
      </c>
      <c r="AV18" s="387" t="str">
        <f>IF(AT18=0,"",IF(AND(AT18=3,M18="F",SUMIF(C2:C76,C18,AS2:AS76)&lt;=1),SUMIF(C2:C76,C18,AS2:AS76),IF(AND(AT18=3,M18="F",SUMIF(C2:C76,C18,AS2:AS76)&gt;1),1,"")))</f>
        <v/>
      </c>
      <c r="AW18" s="387">
        <f>SUMIF(C2:C76,C18,O2:O76)</f>
        <v>1</v>
      </c>
      <c r="AX18" s="387">
        <f>IF(AND(M18="F",AS18&lt;&gt;0),SUMIF(C2:C76,C18,W2:W76),0)</f>
        <v>68452.800000000003</v>
      </c>
      <c r="AY18" s="387">
        <f t="shared" si="29"/>
        <v>68452.800000000003</v>
      </c>
      <c r="AZ18" s="387" t="str">
        <f t="shared" si="30"/>
        <v/>
      </c>
      <c r="BA18" s="387">
        <f t="shared" si="31"/>
        <v>0</v>
      </c>
      <c r="BB18" s="387">
        <f t="shared" si="0"/>
        <v>12500</v>
      </c>
      <c r="BC18" s="387">
        <f t="shared" si="1"/>
        <v>0</v>
      </c>
      <c r="BD18" s="387">
        <f t="shared" si="2"/>
        <v>4244.0735999999997</v>
      </c>
      <c r="BE18" s="387">
        <f t="shared" si="3"/>
        <v>992.56560000000013</v>
      </c>
      <c r="BF18" s="387">
        <f t="shared" si="4"/>
        <v>8173.2643200000011</v>
      </c>
      <c r="BG18" s="387">
        <f t="shared" si="5"/>
        <v>493.54468800000006</v>
      </c>
      <c r="BH18" s="387">
        <f t="shared" si="6"/>
        <v>0</v>
      </c>
      <c r="BI18" s="387">
        <f t="shared" si="7"/>
        <v>378.88624800000002</v>
      </c>
      <c r="BJ18" s="387">
        <f t="shared" si="8"/>
        <v>68.452800000000011</v>
      </c>
      <c r="BK18" s="387">
        <f t="shared" si="9"/>
        <v>0</v>
      </c>
      <c r="BL18" s="387">
        <f t="shared" si="32"/>
        <v>14350.787256</v>
      </c>
      <c r="BM18" s="387">
        <f t="shared" si="33"/>
        <v>0</v>
      </c>
      <c r="BN18" s="387">
        <f t="shared" si="10"/>
        <v>13750</v>
      </c>
      <c r="BO18" s="387">
        <f t="shared" si="11"/>
        <v>0</v>
      </c>
      <c r="BP18" s="387">
        <f t="shared" si="12"/>
        <v>4244.0735999999997</v>
      </c>
      <c r="BQ18" s="387">
        <f t="shared" si="13"/>
        <v>992.56560000000013</v>
      </c>
      <c r="BR18" s="387">
        <f t="shared" si="14"/>
        <v>7653.02304</v>
      </c>
      <c r="BS18" s="387">
        <f t="shared" si="15"/>
        <v>493.54468800000006</v>
      </c>
      <c r="BT18" s="387">
        <f t="shared" si="16"/>
        <v>0</v>
      </c>
      <c r="BU18" s="387">
        <f t="shared" si="17"/>
        <v>378.88624800000002</v>
      </c>
      <c r="BV18" s="387">
        <f t="shared" si="18"/>
        <v>88.988640000000004</v>
      </c>
      <c r="BW18" s="387">
        <f t="shared" si="19"/>
        <v>0</v>
      </c>
      <c r="BX18" s="387">
        <f t="shared" si="34"/>
        <v>13851.081816</v>
      </c>
      <c r="BY18" s="387">
        <f t="shared" si="35"/>
        <v>0</v>
      </c>
      <c r="BZ18" s="387">
        <f t="shared" si="36"/>
        <v>1250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-520.24128000000064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20.535839999999997</v>
      </c>
      <c r="CI18" s="387">
        <f t="shared" si="26"/>
        <v>0</v>
      </c>
      <c r="CJ18" s="387">
        <f t="shared" si="39"/>
        <v>-499.70544000000064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0229-00</v>
      </c>
    </row>
    <row r="19" spans="1:92" ht="15.75" thickBot="1" x14ac:dyDescent="0.3">
      <c r="A19" s="377" t="s">
        <v>162</v>
      </c>
      <c r="B19" s="377" t="s">
        <v>163</v>
      </c>
      <c r="C19" s="377" t="s">
        <v>271</v>
      </c>
      <c r="D19" s="377" t="s">
        <v>189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186</v>
      </c>
      <c r="K19" s="377" t="s">
        <v>190</v>
      </c>
      <c r="L19" s="377" t="s">
        <v>191</v>
      </c>
      <c r="M19" s="377" t="s">
        <v>172</v>
      </c>
      <c r="N19" s="377" t="s">
        <v>173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94550.66</v>
      </c>
      <c r="U19" s="381">
        <v>0</v>
      </c>
      <c r="V19" s="381">
        <v>31952.82</v>
      </c>
      <c r="W19" s="381">
        <v>101316.8</v>
      </c>
      <c r="X19" s="381">
        <v>33741.040000000001</v>
      </c>
      <c r="Y19" s="381">
        <v>101316.8</v>
      </c>
      <c r="Z19" s="381">
        <v>34251.43</v>
      </c>
      <c r="AA19" s="377" t="s">
        <v>272</v>
      </c>
      <c r="AB19" s="377" t="s">
        <v>273</v>
      </c>
      <c r="AC19" s="377" t="s">
        <v>274</v>
      </c>
      <c r="AD19" s="377" t="s">
        <v>171</v>
      </c>
      <c r="AE19" s="377" t="s">
        <v>198</v>
      </c>
      <c r="AF19" s="377" t="s">
        <v>204</v>
      </c>
      <c r="AG19" s="377" t="s">
        <v>179</v>
      </c>
      <c r="AH19" s="382">
        <v>48.71</v>
      </c>
      <c r="AI19" s="382">
        <v>20709.8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5">
        <v>1</v>
      </c>
      <c r="AQ19" s="385">
        <v>1</v>
      </c>
      <c r="AR19" s="383" t="s">
        <v>184</v>
      </c>
      <c r="AS19" s="387">
        <f t="shared" si="27"/>
        <v>1</v>
      </c>
      <c r="AT19">
        <f t="shared" si="28"/>
        <v>1</v>
      </c>
      <c r="AU19" s="387">
        <f>IF(AT19=0,"",IF(AND(AT19=1,M19="F",SUMIF(C2:C76,C19,AS2:AS76)&lt;=1),SUMIF(C2:C76,C19,AS2:AS76),IF(AND(AT19=1,M19="F",SUMIF(C2:C76,C19,AS2:AS76)&gt;1),1,"")))</f>
        <v>1</v>
      </c>
      <c r="AV19" s="387" t="str">
        <f>IF(AT19=0,"",IF(AND(AT19=3,M19="F",SUMIF(C2:C76,C19,AS2:AS76)&lt;=1),SUMIF(C2:C76,C19,AS2:AS76),IF(AND(AT19=3,M19="F",SUMIF(C2:C76,C19,AS2:AS76)&gt;1),1,"")))</f>
        <v/>
      </c>
      <c r="AW19" s="387">
        <f>SUMIF(C2:C76,C19,O2:O76)</f>
        <v>1</v>
      </c>
      <c r="AX19" s="387">
        <f>IF(AND(M19="F",AS19&lt;&gt;0),SUMIF(C2:C76,C19,W2:W76),0)</f>
        <v>101316.8</v>
      </c>
      <c r="AY19" s="387">
        <f t="shared" si="29"/>
        <v>101316.8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6281.6415999999999</v>
      </c>
      <c r="BE19" s="387">
        <f t="shared" si="3"/>
        <v>1469.0936000000002</v>
      </c>
      <c r="BF19" s="387">
        <f t="shared" si="4"/>
        <v>12097.225920000001</v>
      </c>
      <c r="BG19" s="387">
        <f t="shared" si="5"/>
        <v>730.49412800000005</v>
      </c>
      <c r="BH19" s="387">
        <f t="shared" si="6"/>
        <v>0</v>
      </c>
      <c r="BI19" s="387">
        <f t="shared" si="7"/>
        <v>560.78848800000003</v>
      </c>
      <c r="BJ19" s="387">
        <f t="shared" si="8"/>
        <v>101.3168</v>
      </c>
      <c r="BK19" s="387">
        <f t="shared" si="9"/>
        <v>0</v>
      </c>
      <c r="BL19" s="387">
        <f t="shared" si="32"/>
        <v>21240.560535999997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6281.6415999999999</v>
      </c>
      <c r="BQ19" s="387">
        <f t="shared" si="13"/>
        <v>1469.0936000000002</v>
      </c>
      <c r="BR19" s="387">
        <f t="shared" si="14"/>
        <v>11327.21824</v>
      </c>
      <c r="BS19" s="387">
        <f t="shared" si="15"/>
        <v>730.49412800000005</v>
      </c>
      <c r="BT19" s="387">
        <f t="shared" si="16"/>
        <v>0</v>
      </c>
      <c r="BU19" s="387">
        <f t="shared" si="17"/>
        <v>560.78848800000003</v>
      </c>
      <c r="BV19" s="387">
        <f t="shared" si="18"/>
        <v>131.71184</v>
      </c>
      <c r="BW19" s="387">
        <f t="shared" si="19"/>
        <v>0</v>
      </c>
      <c r="BX19" s="387">
        <f t="shared" si="34"/>
        <v>20500.947895999998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-770.00768000000096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30.395039999999991</v>
      </c>
      <c r="CI19" s="387">
        <f t="shared" si="26"/>
        <v>0</v>
      </c>
      <c r="CJ19" s="387">
        <f t="shared" si="39"/>
        <v>-739.61264000000097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0229-00</v>
      </c>
    </row>
    <row r="20" spans="1:92" ht="15.75" thickBot="1" x14ac:dyDescent="0.3">
      <c r="A20" s="377" t="s">
        <v>162</v>
      </c>
      <c r="B20" s="377" t="s">
        <v>163</v>
      </c>
      <c r="C20" s="377" t="s">
        <v>275</v>
      </c>
      <c r="D20" s="377" t="s">
        <v>165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276</v>
      </c>
      <c r="K20" s="377" t="s">
        <v>170</v>
      </c>
      <c r="L20" s="377" t="s">
        <v>171</v>
      </c>
      <c r="M20" s="377" t="s">
        <v>172</v>
      </c>
      <c r="N20" s="377" t="s">
        <v>173</v>
      </c>
      <c r="O20" s="380">
        <v>1</v>
      </c>
      <c r="P20" s="385">
        <v>1</v>
      </c>
      <c r="Q20" s="385">
        <v>1</v>
      </c>
      <c r="R20" s="381">
        <v>80</v>
      </c>
      <c r="S20" s="385">
        <v>1</v>
      </c>
      <c r="T20" s="381">
        <v>70698.679999999993</v>
      </c>
      <c r="U20" s="381">
        <v>0</v>
      </c>
      <c r="V20" s="381">
        <v>26875.14</v>
      </c>
      <c r="W20" s="381">
        <v>72841.600000000006</v>
      </c>
      <c r="X20" s="381">
        <v>27771.200000000001</v>
      </c>
      <c r="Y20" s="381">
        <v>72841.600000000006</v>
      </c>
      <c r="Z20" s="381">
        <v>28489.46</v>
      </c>
      <c r="AA20" s="377" t="s">
        <v>277</v>
      </c>
      <c r="AB20" s="377" t="s">
        <v>278</v>
      </c>
      <c r="AC20" s="377" t="s">
        <v>279</v>
      </c>
      <c r="AD20" s="377" t="s">
        <v>280</v>
      </c>
      <c r="AE20" s="377" t="s">
        <v>211</v>
      </c>
      <c r="AF20" s="377" t="s">
        <v>212</v>
      </c>
      <c r="AG20" s="377" t="s">
        <v>179</v>
      </c>
      <c r="AH20" s="382">
        <v>35.020000000000003</v>
      </c>
      <c r="AI20" s="382">
        <v>4578.5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5">
        <v>1</v>
      </c>
      <c r="AQ20" s="385">
        <v>1</v>
      </c>
      <c r="AR20" s="383">
        <v>3</v>
      </c>
      <c r="AS20" s="387">
        <f t="shared" si="27"/>
        <v>1</v>
      </c>
      <c r="AT20">
        <f t="shared" si="28"/>
        <v>1</v>
      </c>
      <c r="AU20" s="387">
        <f>IF(AT20=0,"",IF(AND(AT20=1,M20="F",SUMIF(C2:C76,C20,AS2:AS76)&lt;=1),SUMIF(C2:C76,C20,AS2:AS76),IF(AND(AT20=1,M20="F",SUMIF(C2:C76,C20,AS2:AS76)&gt;1),1,"")))</f>
        <v>1</v>
      </c>
      <c r="AV20" s="387" t="str">
        <f>IF(AT20=0,"",IF(AND(AT20=3,M20="F",SUMIF(C2:C76,C20,AS2:AS76)&lt;=1),SUMIF(C2:C76,C20,AS2:AS76),IF(AND(AT20=3,M20="F",SUMIF(C2:C76,C20,AS2:AS76)&gt;1),1,"")))</f>
        <v/>
      </c>
      <c r="AW20" s="387">
        <f>SUMIF(C2:C76,C20,O2:O76)</f>
        <v>1</v>
      </c>
      <c r="AX20" s="387">
        <f>IF(AND(M20="F",AS20&lt;&gt;0),SUMIF(C2:C76,C20,W2:W76),0)</f>
        <v>72841.600000000006</v>
      </c>
      <c r="AY20" s="387">
        <f t="shared" si="29"/>
        <v>72841.600000000006</v>
      </c>
      <c r="AZ20" s="387" t="str">
        <f t="shared" si="30"/>
        <v/>
      </c>
      <c r="BA20" s="387">
        <f t="shared" si="31"/>
        <v>0</v>
      </c>
      <c r="BB20" s="387">
        <f t="shared" si="0"/>
        <v>12500</v>
      </c>
      <c r="BC20" s="387">
        <f t="shared" si="1"/>
        <v>0</v>
      </c>
      <c r="BD20" s="387">
        <f t="shared" si="2"/>
        <v>4516.1792000000005</v>
      </c>
      <c r="BE20" s="387">
        <f t="shared" si="3"/>
        <v>1056.2032000000002</v>
      </c>
      <c r="BF20" s="387">
        <f t="shared" si="4"/>
        <v>8697.2870400000011</v>
      </c>
      <c r="BG20" s="387">
        <f t="shared" si="5"/>
        <v>525.18793600000004</v>
      </c>
      <c r="BH20" s="387">
        <f t="shared" si="6"/>
        <v>0</v>
      </c>
      <c r="BI20" s="387">
        <f t="shared" si="7"/>
        <v>403.17825600000003</v>
      </c>
      <c r="BJ20" s="387">
        <f t="shared" si="8"/>
        <v>72.841600000000014</v>
      </c>
      <c r="BK20" s="387">
        <f t="shared" si="9"/>
        <v>0</v>
      </c>
      <c r="BL20" s="387">
        <f t="shared" si="32"/>
        <v>15270.877232000001</v>
      </c>
      <c r="BM20" s="387">
        <f t="shared" si="33"/>
        <v>0</v>
      </c>
      <c r="BN20" s="387">
        <f t="shared" si="10"/>
        <v>13750</v>
      </c>
      <c r="BO20" s="387">
        <f t="shared" si="11"/>
        <v>0</v>
      </c>
      <c r="BP20" s="387">
        <f t="shared" si="12"/>
        <v>4516.1792000000005</v>
      </c>
      <c r="BQ20" s="387">
        <f t="shared" si="13"/>
        <v>1056.2032000000002</v>
      </c>
      <c r="BR20" s="387">
        <f t="shared" si="14"/>
        <v>8143.6908800000001</v>
      </c>
      <c r="BS20" s="387">
        <f t="shared" si="15"/>
        <v>525.18793600000004</v>
      </c>
      <c r="BT20" s="387">
        <f t="shared" si="16"/>
        <v>0</v>
      </c>
      <c r="BU20" s="387">
        <f t="shared" si="17"/>
        <v>403.17825600000003</v>
      </c>
      <c r="BV20" s="387">
        <f t="shared" si="18"/>
        <v>94.69408</v>
      </c>
      <c r="BW20" s="387">
        <f t="shared" si="19"/>
        <v>0</v>
      </c>
      <c r="BX20" s="387">
        <f t="shared" si="34"/>
        <v>14739.133551999999</v>
      </c>
      <c r="BY20" s="387">
        <f t="shared" si="35"/>
        <v>0</v>
      </c>
      <c r="BZ20" s="387">
        <f t="shared" si="36"/>
        <v>1250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-553.59616000000074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21.852479999999996</v>
      </c>
      <c r="CI20" s="387">
        <f t="shared" si="26"/>
        <v>0</v>
      </c>
      <c r="CJ20" s="387">
        <f t="shared" si="39"/>
        <v>-531.74368000000072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0229-00</v>
      </c>
    </row>
    <row r="21" spans="1:92" ht="15.75" thickBot="1" x14ac:dyDescent="0.3">
      <c r="A21" s="377" t="s">
        <v>162</v>
      </c>
      <c r="B21" s="377" t="s">
        <v>163</v>
      </c>
      <c r="C21" s="377" t="s">
        <v>281</v>
      </c>
      <c r="D21" s="377" t="s">
        <v>282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283</v>
      </c>
      <c r="L21" s="377" t="s">
        <v>284</v>
      </c>
      <c r="M21" s="377" t="s">
        <v>172</v>
      </c>
      <c r="N21" s="377" t="s">
        <v>173</v>
      </c>
      <c r="O21" s="380">
        <v>1</v>
      </c>
      <c r="P21" s="385">
        <v>1</v>
      </c>
      <c r="Q21" s="385">
        <v>1</v>
      </c>
      <c r="R21" s="381">
        <v>80</v>
      </c>
      <c r="S21" s="385">
        <v>1</v>
      </c>
      <c r="T21" s="381">
        <v>62008.04</v>
      </c>
      <c r="U21" s="381">
        <v>0</v>
      </c>
      <c r="V21" s="381">
        <v>24941.07</v>
      </c>
      <c r="W21" s="381">
        <v>66144</v>
      </c>
      <c r="X21" s="381">
        <v>26367.03</v>
      </c>
      <c r="Y21" s="381">
        <v>66144</v>
      </c>
      <c r="Z21" s="381">
        <v>27134.16</v>
      </c>
      <c r="AA21" s="377" t="s">
        <v>285</v>
      </c>
      <c r="AB21" s="377" t="s">
        <v>286</v>
      </c>
      <c r="AC21" s="377" t="s">
        <v>287</v>
      </c>
      <c r="AD21" s="377" t="s">
        <v>218</v>
      </c>
      <c r="AE21" s="377" t="s">
        <v>283</v>
      </c>
      <c r="AF21" s="377" t="s">
        <v>212</v>
      </c>
      <c r="AG21" s="377" t="s">
        <v>179</v>
      </c>
      <c r="AH21" s="382">
        <v>31.8</v>
      </c>
      <c r="AI21" s="382">
        <v>5598.1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5">
        <v>1</v>
      </c>
      <c r="AQ21" s="385">
        <v>1</v>
      </c>
      <c r="AR21" s="383" t="s">
        <v>184</v>
      </c>
      <c r="AS21" s="387">
        <f t="shared" si="27"/>
        <v>1</v>
      </c>
      <c r="AT21">
        <f t="shared" si="28"/>
        <v>1</v>
      </c>
      <c r="AU21" s="387">
        <f>IF(AT21=0,"",IF(AND(AT21=1,M21="F",SUMIF(C2:C76,C21,AS2:AS76)&lt;=1),SUMIF(C2:C76,C21,AS2:AS76),IF(AND(AT21=1,M21="F",SUMIF(C2:C76,C21,AS2:AS76)&gt;1),1,"")))</f>
        <v>1</v>
      </c>
      <c r="AV21" s="387" t="str">
        <f>IF(AT21=0,"",IF(AND(AT21=3,M21="F",SUMIF(C2:C76,C21,AS2:AS76)&lt;=1),SUMIF(C2:C76,C21,AS2:AS76),IF(AND(AT21=3,M21="F",SUMIF(C2:C76,C21,AS2:AS76)&gt;1),1,"")))</f>
        <v/>
      </c>
      <c r="AW21" s="387">
        <f>SUMIF(C2:C76,C21,O2:O76)</f>
        <v>1</v>
      </c>
      <c r="AX21" s="387">
        <f>IF(AND(M21="F",AS21&lt;&gt;0),SUMIF(C2:C76,C21,W2:W76),0)</f>
        <v>66144</v>
      </c>
      <c r="AY21" s="387">
        <f t="shared" si="29"/>
        <v>66144</v>
      </c>
      <c r="AZ21" s="387" t="str">
        <f t="shared" si="30"/>
        <v/>
      </c>
      <c r="BA21" s="387">
        <f t="shared" si="31"/>
        <v>0</v>
      </c>
      <c r="BB21" s="387">
        <f t="shared" si="0"/>
        <v>12500</v>
      </c>
      <c r="BC21" s="387">
        <f t="shared" si="1"/>
        <v>0</v>
      </c>
      <c r="BD21" s="387">
        <f t="shared" si="2"/>
        <v>4100.9279999999999</v>
      </c>
      <c r="BE21" s="387">
        <f t="shared" si="3"/>
        <v>959.08800000000008</v>
      </c>
      <c r="BF21" s="387">
        <f t="shared" si="4"/>
        <v>7897.5936000000002</v>
      </c>
      <c r="BG21" s="387">
        <f t="shared" si="5"/>
        <v>476.89824000000004</v>
      </c>
      <c r="BH21" s="387">
        <f t="shared" si="6"/>
        <v>0</v>
      </c>
      <c r="BI21" s="387">
        <f t="shared" si="7"/>
        <v>366.10703999999998</v>
      </c>
      <c r="BJ21" s="387">
        <f t="shared" si="8"/>
        <v>66.144000000000005</v>
      </c>
      <c r="BK21" s="387">
        <f t="shared" si="9"/>
        <v>0</v>
      </c>
      <c r="BL21" s="387">
        <f t="shared" si="32"/>
        <v>13866.758880000001</v>
      </c>
      <c r="BM21" s="387">
        <f t="shared" si="33"/>
        <v>0</v>
      </c>
      <c r="BN21" s="387">
        <f t="shared" si="10"/>
        <v>13750</v>
      </c>
      <c r="BO21" s="387">
        <f t="shared" si="11"/>
        <v>0</v>
      </c>
      <c r="BP21" s="387">
        <f t="shared" si="12"/>
        <v>4100.9279999999999</v>
      </c>
      <c r="BQ21" s="387">
        <f t="shared" si="13"/>
        <v>959.08800000000008</v>
      </c>
      <c r="BR21" s="387">
        <f t="shared" si="14"/>
        <v>7394.8991999999998</v>
      </c>
      <c r="BS21" s="387">
        <f t="shared" si="15"/>
        <v>476.89824000000004</v>
      </c>
      <c r="BT21" s="387">
        <f t="shared" si="16"/>
        <v>0</v>
      </c>
      <c r="BU21" s="387">
        <f t="shared" si="17"/>
        <v>366.10703999999998</v>
      </c>
      <c r="BV21" s="387">
        <f t="shared" si="18"/>
        <v>85.987200000000001</v>
      </c>
      <c r="BW21" s="387">
        <f t="shared" si="19"/>
        <v>0</v>
      </c>
      <c r="BX21" s="387">
        <f t="shared" si="34"/>
        <v>13383.90768</v>
      </c>
      <c r="BY21" s="387">
        <f t="shared" si="35"/>
        <v>0</v>
      </c>
      <c r="BZ21" s="387">
        <f t="shared" si="36"/>
        <v>1250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-502.69440000000066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19.843199999999996</v>
      </c>
      <c r="CI21" s="387">
        <f t="shared" si="26"/>
        <v>0</v>
      </c>
      <c r="CJ21" s="387">
        <f t="shared" si="39"/>
        <v>-482.85120000000063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0229-00</v>
      </c>
    </row>
    <row r="22" spans="1:92" ht="15.75" thickBot="1" x14ac:dyDescent="0.3">
      <c r="A22" s="377" t="s">
        <v>162</v>
      </c>
      <c r="B22" s="377" t="s">
        <v>163</v>
      </c>
      <c r="C22" s="377" t="s">
        <v>288</v>
      </c>
      <c r="D22" s="377" t="s">
        <v>289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186</v>
      </c>
      <c r="K22" s="377" t="s">
        <v>290</v>
      </c>
      <c r="L22" s="377" t="s">
        <v>167</v>
      </c>
      <c r="M22" s="377" t="s">
        <v>172</v>
      </c>
      <c r="N22" s="377" t="s">
        <v>233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120675.2</v>
      </c>
      <c r="U22" s="381">
        <v>0</v>
      </c>
      <c r="V22" s="381">
        <v>36115.14</v>
      </c>
      <c r="W22" s="381">
        <v>125715.2</v>
      </c>
      <c r="X22" s="381">
        <v>38159.71</v>
      </c>
      <c r="Y22" s="381">
        <v>125715.2</v>
      </c>
      <c r="Z22" s="381">
        <v>38491.980000000003</v>
      </c>
      <c r="AA22" s="377" t="s">
        <v>291</v>
      </c>
      <c r="AB22" s="377" t="s">
        <v>292</v>
      </c>
      <c r="AC22" s="377" t="s">
        <v>293</v>
      </c>
      <c r="AD22" s="377" t="s">
        <v>294</v>
      </c>
      <c r="AE22" s="377" t="s">
        <v>290</v>
      </c>
      <c r="AF22" s="377" t="s">
        <v>238</v>
      </c>
      <c r="AG22" s="377" t="s">
        <v>179</v>
      </c>
      <c r="AH22" s="382">
        <v>60.44</v>
      </c>
      <c r="AI22" s="382">
        <v>45285.2</v>
      </c>
      <c r="AJ22" s="377" t="s">
        <v>180</v>
      </c>
      <c r="AK22" s="377" t="s">
        <v>181</v>
      </c>
      <c r="AL22" s="377" t="s">
        <v>182</v>
      </c>
      <c r="AM22" s="377" t="s">
        <v>182</v>
      </c>
      <c r="AN22" s="377" t="s">
        <v>66</v>
      </c>
      <c r="AO22" s="380">
        <v>80</v>
      </c>
      <c r="AP22" s="385">
        <v>1</v>
      </c>
      <c r="AQ22" s="385">
        <v>1</v>
      </c>
      <c r="AR22" s="383" t="s">
        <v>184</v>
      </c>
      <c r="AS22" s="387">
        <f t="shared" si="27"/>
        <v>1</v>
      </c>
      <c r="AT22">
        <f t="shared" si="28"/>
        <v>1</v>
      </c>
      <c r="AU22" s="387">
        <f>IF(AT22=0,"",IF(AND(AT22=1,M22="F",SUMIF(C2:C76,C22,AS2:AS76)&lt;=1),SUMIF(C2:C76,C22,AS2:AS76),IF(AND(AT22=1,M22="F",SUMIF(C2:C76,C22,AS2:AS76)&gt;1),1,"")))</f>
        <v>1</v>
      </c>
      <c r="AV22" s="387" t="str">
        <f>IF(AT22=0,"",IF(AND(AT22=3,M22="F",SUMIF(C2:C76,C22,AS2:AS76)&lt;=1),SUMIF(C2:C76,C22,AS2:AS76),IF(AND(AT22=3,M22="F",SUMIF(C2:C76,C22,AS2:AS76)&gt;1),1,"")))</f>
        <v/>
      </c>
      <c r="AW22" s="387">
        <f>SUMIF(C2:C76,C22,O2:O76)</f>
        <v>1</v>
      </c>
      <c r="AX22" s="387">
        <f>IF(AND(M22="F",AS22&lt;&gt;0),SUMIF(C2:C76,C22,W2:W76),0)</f>
        <v>125715.2</v>
      </c>
      <c r="AY22" s="387">
        <f t="shared" si="29"/>
        <v>125715.2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7794.3423999999995</v>
      </c>
      <c r="BE22" s="387">
        <f t="shared" si="3"/>
        <v>1822.8704</v>
      </c>
      <c r="BF22" s="387">
        <f t="shared" si="4"/>
        <v>15010.39488</v>
      </c>
      <c r="BG22" s="387">
        <f t="shared" si="5"/>
        <v>906.40659200000005</v>
      </c>
      <c r="BH22" s="387">
        <f t="shared" si="6"/>
        <v>0</v>
      </c>
      <c r="BI22" s="387">
        <f t="shared" si="7"/>
        <v>0</v>
      </c>
      <c r="BJ22" s="387">
        <f t="shared" si="8"/>
        <v>125.7152</v>
      </c>
      <c r="BK22" s="387">
        <f t="shared" si="9"/>
        <v>0</v>
      </c>
      <c r="BL22" s="387">
        <f t="shared" si="32"/>
        <v>25659.729471999999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7794.3423999999995</v>
      </c>
      <c r="BQ22" s="387">
        <f t="shared" si="13"/>
        <v>1822.8704</v>
      </c>
      <c r="BR22" s="387">
        <f t="shared" si="14"/>
        <v>14054.959359999999</v>
      </c>
      <c r="BS22" s="387">
        <f t="shared" si="15"/>
        <v>906.40659200000005</v>
      </c>
      <c r="BT22" s="387">
        <f t="shared" si="16"/>
        <v>0</v>
      </c>
      <c r="BU22" s="387">
        <f t="shared" si="17"/>
        <v>0</v>
      </c>
      <c r="BV22" s="387">
        <f t="shared" si="18"/>
        <v>163.42975999999999</v>
      </c>
      <c r="BW22" s="387">
        <f t="shared" si="19"/>
        <v>0</v>
      </c>
      <c r="BX22" s="387">
        <f t="shared" si="34"/>
        <v>24742.008511999997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-955.43552000000113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37.714559999999992</v>
      </c>
      <c r="CI22" s="387">
        <f t="shared" si="26"/>
        <v>0</v>
      </c>
      <c r="CJ22" s="387">
        <f t="shared" si="39"/>
        <v>-917.72096000000113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0229-00</v>
      </c>
    </row>
    <row r="23" spans="1:92" ht="15.75" thickBot="1" x14ac:dyDescent="0.3">
      <c r="A23" s="377" t="s">
        <v>162</v>
      </c>
      <c r="B23" s="377" t="s">
        <v>163</v>
      </c>
      <c r="C23" s="377" t="s">
        <v>295</v>
      </c>
      <c r="D23" s="377" t="s">
        <v>296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186</v>
      </c>
      <c r="K23" s="377" t="s">
        <v>297</v>
      </c>
      <c r="L23" s="377" t="s">
        <v>182</v>
      </c>
      <c r="M23" s="377" t="s">
        <v>172</v>
      </c>
      <c r="N23" s="377" t="s">
        <v>173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99378.96</v>
      </c>
      <c r="U23" s="381">
        <v>0</v>
      </c>
      <c r="V23" s="381">
        <v>33111.769999999997</v>
      </c>
      <c r="W23" s="381">
        <v>103500.8</v>
      </c>
      <c r="X23" s="381">
        <v>34198.92</v>
      </c>
      <c r="Y23" s="381">
        <v>103500.8</v>
      </c>
      <c r="Z23" s="381">
        <v>34693.360000000001</v>
      </c>
      <c r="AA23" s="377" t="s">
        <v>298</v>
      </c>
      <c r="AB23" s="377" t="s">
        <v>299</v>
      </c>
      <c r="AC23" s="377" t="s">
        <v>300</v>
      </c>
      <c r="AD23" s="377" t="s">
        <v>301</v>
      </c>
      <c r="AE23" s="377" t="s">
        <v>297</v>
      </c>
      <c r="AF23" s="377" t="s">
        <v>302</v>
      </c>
      <c r="AG23" s="377" t="s">
        <v>179</v>
      </c>
      <c r="AH23" s="382">
        <v>49.76</v>
      </c>
      <c r="AI23" s="382">
        <v>36928.5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5">
        <v>1</v>
      </c>
      <c r="AQ23" s="385">
        <v>1</v>
      </c>
      <c r="AR23" s="383" t="s">
        <v>184</v>
      </c>
      <c r="AS23" s="387">
        <f t="shared" si="27"/>
        <v>1</v>
      </c>
      <c r="AT23">
        <f t="shared" si="28"/>
        <v>1</v>
      </c>
      <c r="AU23" s="387">
        <f>IF(AT23=0,"",IF(AND(AT23=1,M23="F",SUMIF(C2:C76,C23,AS2:AS76)&lt;=1),SUMIF(C2:C76,C23,AS2:AS76),IF(AND(AT23=1,M23="F",SUMIF(C2:C76,C23,AS2:AS76)&gt;1),1,"")))</f>
        <v>1</v>
      </c>
      <c r="AV23" s="387" t="str">
        <f>IF(AT23=0,"",IF(AND(AT23=3,M23="F",SUMIF(C2:C76,C23,AS2:AS76)&lt;=1),SUMIF(C2:C76,C23,AS2:AS76),IF(AND(AT23=3,M23="F",SUMIF(C2:C76,C23,AS2:AS76)&gt;1),1,"")))</f>
        <v/>
      </c>
      <c r="AW23" s="387">
        <f>SUMIF(C2:C76,C23,O2:O76)</f>
        <v>1</v>
      </c>
      <c r="AX23" s="387">
        <f>IF(AND(M23="F",AS23&lt;&gt;0),SUMIF(C2:C76,C23,W2:W76),0)</f>
        <v>103500.8</v>
      </c>
      <c r="AY23" s="387">
        <f t="shared" si="29"/>
        <v>103500.8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6417.0496000000003</v>
      </c>
      <c r="BE23" s="387">
        <f t="shared" si="3"/>
        <v>1500.7616</v>
      </c>
      <c r="BF23" s="387">
        <f t="shared" si="4"/>
        <v>12357.99552</v>
      </c>
      <c r="BG23" s="387">
        <f t="shared" si="5"/>
        <v>746.240768</v>
      </c>
      <c r="BH23" s="387">
        <f t="shared" si="6"/>
        <v>0</v>
      </c>
      <c r="BI23" s="387">
        <f t="shared" si="7"/>
        <v>572.87692800000002</v>
      </c>
      <c r="BJ23" s="387">
        <f t="shared" si="8"/>
        <v>103.5008</v>
      </c>
      <c r="BK23" s="387">
        <f t="shared" si="9"/>
        <v>0</v>
      </c>
      <c r="BL23" s="387">
        <f t="shared" si="32"/>
        <v>21698.425216000003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6417.0496000000003</v>
      </c>
      <c r="BQ23" s="387">
        <f t="shared" si="13"/>
        <v>1500.7616</v>
      </c>
      <c r="BR23" s="387">
        <f t="shared" si="14"/>
        <v>11571.389440000001</v>
      </c>
      <c r="BS23" s="387">
        <f t="shared" si="15"/>
        <v>746.240768</v>
      </c>
      <c r="BT23" s="387">
        <f t="shared" si="16"/>
        <v>0</v>
      </c>
      <c r="BU23" s="387">
        <f t="shared" si="17"/>
        <v>572.87692800000002</v>
      </c>
      <c r="BV23" s="387">
        <f t="shared" si="18"/>
        <v>134.55104</v>
      </c>
      <c r="BW23" s="387">
        <f t="shared" si="19"/>
        <v>0</v>
      </c>
      <c r="BX23" s="387">
        <f t="shared" si="34"/>
        <v>20942.869376000002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-786.60608000000104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31.050239999999992</v>
      </c>
      <c r="CI23" s="387">
        <f t="shared" si="26"/>
        <v>0</v>
      </c>
      <c r="CJ23" s="387">
        <f t="shared" si="39"/>
        <v>-755.55584000000101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0229-00</v>
      </c>
    </row>
    <row r="24" spans="1:92" ht="15.75" thickBot="1" x14ac:dyDescent="0.3">
      <c r="A24" s="377" t="s">
        <v>162</v>
      </c>
      <c r="B24" s="377" t="s">
        <v>163</v>
      </c>
      <c r="C24" s="377" t="s">
        <v>303</v>
      </c>
      <c r="D24" s="377" t="s">
        <v>304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276</v>
      </c>
      <c r="K24" s="377" t="s">
        <v>305</v>
      </c>
      <c r="L24" s="377" t="s">
        <v>306</v>
      </c>
      <c r="M24" s="377" t="s">
        <v>172</v>
      </c>
      <c r="N24" s="377" t="s">
        <v>173</v>
      </c>
      <c r="O24" s="380">
        <v>1</v>
      </c>
      <c r="P24" s="385">
        <v>1</v>
      </c>
      <c r="Q24" s="385">
        <v>1</v>
      </c>
      <c r="R24" s="381">
        <v>80</v>
      </c>
      <c r="S24" s="385">
        <v>1</v>
      </c>
      <c r="T24" s="381">
        <v>34028.85</v>
      </c>
      <c r="U24" s="381">
        <v>0</v>
      </c>
      <c r="V24" s="381">
        <v>18691.830000000002</v>
      </c>
      <c r="W24" s="381">
        <v>37377.599999999999</v>
      </c>
      <c r="X24" s="381">
        <v>20336.18</v>
      </c>
      <c r="Y24" s="381">
        <v>37377.599999999999</v>
      </c>
      <c r="Z24" s="381">
        <v>21313.34</v>
      </c>
      <c r="AA24" s="377" t="s">
        <v>307</v>
      </c>
      <c r="AB24" s="377" t="s">
        <v>308</v>
      </c>
      <c r="AC24" s="377" t="s">
        <v>309</v>
      </c>
      <c r="AD24" s="377" t="s">
        <v>218</v>
      </c>
      <c r="AE24" s="377" t="s">
        <v>305</v>
      </c>
      <c r="AF24" s="377" t="s">
        <v>310</v>
      </c>
      <c r="AG24" s="377" t="s">
        <v>179</v>
      </c>
      <c r="AH24" s="382">
        <v>17.97</v>
      </c>
      <c r="AI24" s="380">
        <v>20255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5">
        <v>1</v>
      </c>
      <c r="AQ24" s="385">
        <v>1</v>
      </c>
      <c r="AR24" s="383" t="s">
        <v>184</v>
      </c>
      <c r="AS24" s="387">
        <f t="shared" si="27"/>
        <v>1</v>
      </c>
      <c r="AT24">
        <f t="shared" si="28"/>
        <v>1</v>
      </c>
      <c r="AU24" s="387">
        <f>IF(AT24=0,"",IF(AND(AT24=1,M24="F",SUMIF(C2:C76,C24,AS2:AS76)&lt;=1),SUMIF(C2:C76,C24,AS2:AS76),IF(AND(AT24=1,M24="F",SUMIF(C2:C76,C24,AS2:AS76)&gt;1),1,"")))</f>
        <v>1</v>
      </c>
      <c r="AV24" s="387" t="str">
        <f>IF(AT24=0,"",IF(AND(AT24=3,M24="F",SUMIF(C2:C76,C24,AS2:AS76)&lt;=1),SUMIF(C2:C76,C24,AS2:AS76),IF(AND(AT24=3,M24="F",SUMIF(C2:C76,C24,AS2:AS76)&gt;1),1,"")))</f>
        <v/>
      </c>
      <c r="AW24" s="387">
        <f>SUMIF(C2:C76,C24,O2:O76)</f>
        <v>1</v>
      </c>
      <c r="AX24" s="387">
        <f>IF(AND(M24="F",AS24&lt;&gt;0),SUMIF(C2:C76,C24,W2:W76),0)</f>
        <v>37377.599999999999</v>
      </c>
      <c r="AY24" s="387">
        <f t="shared" si="29"/>
        <v>37377.599999999999</v>
      </c>
      <c r="AZ24" s="387" t="str">
        <f t="shared" si="30"/>
        <v/>
      </c>
      <c r="BA24" s="387">
        <f t="shared" si="31"/>
        <v>0</v>
      </c>
      <c r="BB24" s="387">
        <f t="shared" si="0"/>
        <v>12500</v>
      </c>
      <c r="BC24" s="387">
        <f t="shared" si="1"/>
        <v>0</v>
      </c>
      <c r="BD24" s="387">
        <f t="shared" si="2"/>
        <v>2317.4112</v>
      </c>
      <c r="BE24" s="387">
        <f t="shared" si="3"/>
        <v>541.97519999999997</v>
      </c>
      <c r="BF24" s="387">
        <f t="shared" si="4"/>
        <v>4462.88544</v>
      </c>
      <c r="BG24" s="387">
        <f t="shared" si="5"/>
        <v>269.49249600000002</v>
      </c>
      <c r="BH24" s="387">
        <f t="shared" si="6"/>
        <v>0</v>
      </c>
      <c r="BI24" s="387">
        <f t="shared" si="7"/>
        <v>206.88501599999998</v>
      </c>
      <c r="BJ24" s="387">
        <f t="shared" si="8"/>
        <v>37.377600000000001</v>
      </c>
      <c r="BK24" s="387">
        <f t="shared" si="9"/>
        <v>0</v>
      </c>
      <c r="BL24" s="387">
        <f t="shared" si="32"/>
        <v>7836.0269519999993</v>
      </c>
      <c r="BM24" s="387">
        <f t="shared" si="33"/>
        <v>0</v>
      </c>
      <c r="BN24" s="387">
        <f t="shared" si="10"/>
        <v>13750</v>
      </c>
      <c r="BO24" s="387">
        <f t="shared" si="11"/>
        <v>0</v>
      </c>
      <c r="BP24" s="387">
        <f t="shared" si="12"/>
        <v>2317.4112</v>
      </c>
      <c r="BQ24" s="387">
        <f t="shared" si="13"/>
        <v>541.97519999999997</v>
      </c>
      <c r="BR24" s="387">
        <f t="shared" si="14"/>
        <v>4178.8156799999997</v>
      </c>
      <c r="BS24" s="387">
        <f t="shared" si="15"/>
        <v>269.49249600000002</v>
      </c>
      <c r="BT24" s="387">
        <f t="shared" si="16"/>
        <v>0</v>
      </c>
      <c r="BU24" s="387">
        <f t="shared" si="17"/>
        <v>206.88501599999998</v>
      </c>
      <c r="BV24" s="387">
        <f t="shared" si="18"/>
        <v>48.590879999999999</v>
      </c>
      <c r="BW24" s="387">
        <f t="shared" si="19"/>
        <v>0</v>
      </c>
      <c r="BX24" s="387">
        <f t="shared" si="34"/>
        <v>7563.1704719999989</v>
      </c>
      <c r="BY24" s="387">
        <f t="shared" si="35"/>
        <v>0</v>
      </c>
      <c r="BZ24" s="387">
        <f t="shared" si="36"/>
        <v>1250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-284.06976000000037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11.213279999999996</v>
      </c>
      <c r="CI24" s="387">
        <f t="shared" si="26"/>
        <v>0</v>
      </c>
      <c r="CJ24" s="387">
        <f t="shared" si="39"/>
        <v>-272.85648000000037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0229-00</v>
      </c>
    </row>
    <row r="25" spans="1:92" ht="15.75" thickBot="1" x14ac:dyDescent="0.3">
      <c r="A25" s="377" t="s">
        <v>162</v>
      </c>
      <c r="B25" s="377" t="s">
        <v>163</v>
      </c>
      <c r="C25" s="377" t="s">
        <v>311</v>
      </c>
      <c r="D25" s="377" t="s">
        <v>165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186</v>
      </c>
      <c r="K25" s="377" t="s">
        <v>170</v>
      </c>
      <c r="L25" s="377" t="s">
        <v>171</v>
      </c>
      <c r="M25" s="377" t="s">
        <v>172</v>
      </c>
      <c r="N25" s="377" t="s">
        <v>173</v>
      </c>
      <c r="O25" s="380">
        <v>1</v>
      </c>
      <c r="P25" s="385">
        <v>1</v>
      </c>
      <c r="Q25" s="385">
        <v>1</v>
      </c>
      <c r="R25" s="381">
        <v>80</v>
      </c>
      <c r="S25" s="385">
        <v>1</v>
      </c>
      <c r="T25" s="381">
        <v>61828.800000000003</v>
      </c>
      <c r="U25" s="381">
        <v>0</v>
      </c>
      <c r="V25" s="381">
        <v>24906.400000000001</v>
      </c>
      <c r="W25" s="381">
        <v>70844.800000000003</v>
      </c>
      <c r="X25" s="381">
        <v>27352.58</v>
      </c>
      <c r="Y25" s="381">
        <v>70844.800000000003</v>
      </c>
      <c r="Z25" s="381">
        <v>28085.41</v>
      </c>
      <c r="AA25" s="377" t="s">
        <v>312</v>
      </c>
      <c r="AB25" s="377" t="s">
        <v>313</v>
      </c>
      <c r="AC25" s="377" t="s">
        <v>314</v>
      </c>
      <c r="AD25" s="377" t="s">
        <v>171</v>
      </c>
      <c r="AE25" s="377" t="s">
        <v>211</v>
      </c>
      <c r="AF25" s="377" t="s">
        <v>212</v>
      </c>
      <c r="AG25" s="377" t="s">
        <v>179</v>
      </c>
      <c r="AH25" s="382">
        <v>34.06</v>
      </c>
      <c r="AI25" s="382">
        <v>7543.1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5">
        <v>1</v>
      </c>
      <c r="AQ25" s="385">
        <v>1</v>
      </c>
      <c r="AR25" s="383" t="s">
        <v>184</v>
      </c>
      <c r="AS25" s="387">
        <f t="shared" si="27"/>
        <v>1</v>
      </c>
      <c r="AT25">
        <f t="shared" si="28"/>
        <v>1</v>
      </c>
      <c r="AU25" s="387">
        <f>IF(AT25=0,"",IF(AND(AT25=1,M25="F",SUMIF(C2:C76,C25,AS2:AS76)&lt;=1),SUMIF(C2:C76,C25,AS2:AS76),IF(AND(AT25=1,M25="F",SUMIF(C2:C76,C25,AS2:AS76)&gt;1),1,"")))</f>
        <v>1</v>
      </c>
      <c r="AV25" s="387" t="str">
        <f>IF(AT25=0,"",IF(AND(AT25=3,M25="F",SUMIF(C2:C76,C25,AS2:AS76)&lt;=1),SUMIF(C2:C76,C25,AS2:AS76),IF(AND(AT25=3,M25="F",SUMIF(C2:C76,C25,AS2:AS76)&gt;1),1,"")))</f>
        <v/>
      </c>
      <c r="AW25" s="387">
        <f>SUMIF(C2:C76,C25,O2:O76)</f>
        <v>1</v>
      </c>
      <c r="AX25" s="387">
        <f>IF(AND(M25="F",AS25&lt;&gt;0),SUMIF(C2:C76,C25,W2:W76),0)</f>
        <v>70844.800000000003</v>
      </c>
      <c r="AY25" s="387">
        <f t="shared" si="29"/>
        <v>70844.800000000003</v>
      </c>
      <c r="AZ25" s="387" t="str">
        <f t="shared" si="30"/>
        <v/>
      </c>
      <c r="BA25" s="387">
        <f t="shared" si="31"/>
        <v>0</v>
      </c>
      <c r="BB25" s="387">
        <f t="shared" si="0"/>
        <v>12500</v>
      </c>
      <c r="BC25" s="387">
        <f t="shared" si="1"/>
        <v>0</v>
      </c>
      <c r="BD25" s="387">
        <f t="shared" si="2"/>
        <v>4392.3775999999998</v>
      </c>
      <c r="BE25" s="387">
        <f t="shared" si="3"/>
        <v>1027.2496000000001</v>
      </c>
      <c r="BF25" s="387">
        <f t="shared" si="4"/>
        <v>8458.8691200000012</v>
      </c>
      <c r="BG25" s="387">
        <f t="shared" si="5"/>
        <v>510.79100800000003</v>
      </c>
      <c r="BH25" s="387">
        <f t="shared" si="6"/>
        <v>0</v>
      </c>
      <c r="BI25" s="387">
        <f t="shared" si="7"/>
        <v>392.125968</v>
      </c>
      <c r="BJ25" s="387">
        <f t="shared" si="8"/>
        <v>70.844800000000006</v>
      </c>
      <c r="BK25" s="387">
        <f t="shared" si="9"/>
        <v>0</v>
      </c>
      <c r="BL25" s="387">
        <f t="shared" si="32"/>
        <v>14852.258096000003</v>
      </c>
      <c r="BM25" s="387">
        <f t="shared" si="33"/>
        <v>0</v>
      </c>
      <c r="BN25" s="387">
        <f t="shared" si="10"/>
        <v>13750</v>
      </c>
      <c r="BO25" s="387">
        <f t="shared" si="11"/>
        <v>0</v>
      </c>
      <c r="BP25" s="387">
        <f t="shared" si="12"/>
        <v>4392.3775999999998</v>
      </c>
      <c r="BQ25" s="387">
        <f t="shared" si="13"/>
        <v>1027.2496000000001</v>
      </c>
      <c r="BR25" s="387">
        <f t="shared" si="14"/>
        <v>7920.4486400000005</v>
      </c>
      <c r="BS25" s="387">
        <f t="shared" si="15"/>
        <v>510.79100800000003</v>
      </c>
      <c r="BT25" s="387">
        <f t="shared" si="16"/>
        <v>0</v>
      </c>
      <c r="BU25" s="387">
        <f t="shared" si="17"/>
        <v>392.125968</v>
      </c>
      <c r="BV25" s="387">
        <f t="shared" si="18"/>
        <v>92.098240000000004</v>
      </c>
      <c r="BW25" s="387">
        <f t="shared" si="19"/>
        <v>0</v>
      </c>
      <c r="BX25" s="387">
        <f t="shared" si="34"/>
        <v>14335.091056000001</v>
      </c>
      <c r="BY25" s="387">
        <f t="shared" si="35"/>
        <v>0</v>
      </c>
      <c r="BZ25" s="387">
        <f t="shared" si="36"/>
        <v>1250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-538.42048000000068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21.253439999999994</v>
      </c>
      <c r="CI25" s="387">
        <f t="shared" si="26"/>
        <v>0</v>
      </c>
      <c r="CJ25" s="387">
        <f t="shared" si="39"/>
        <v>-517.16704000000072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0229-00</v>
      </c>
    </row>
    <row r="26" spans="1:92" ht="15.75" thickBot="1" x14ac:dyDescent="0.3">
      <c r="A26" s="377" t="s">
        <v>162</v>
      </c>
      <c r="B26" s="377" t="s">
        <v>163</v>
      </c>
      <c r="C26" s="377" t="s">
        <v>315</v>
      </c>
      <c r="D26" s="377" t="s">
        <v>165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276</v>
      </c>
      <c r="K26" s="377" t="s">
        <v>170</v>
      </c>
      <c r="L26" s="377" t="s">
        <v>171</v>
      </c>
      <c r="M26" s="377" t="s">
        <v>172</v>
      </c>
      <c r="N26" s="377" t="s">
        <v>173</v>
      </c>
      <c r="O26" s="380">
        <v>1</v>
      </c>
      <c r="P26" s="385">
        <v>1</v>
      </c>
      <c r="Q26" s="385">
        <v>1</v>
      </c>
      <c r="R26" s="381">
        <v>80</v>
      </c>
      <c r="S26" s="385">
        <v>1</v>
      </c>
      <c r="T26" s="381">
        <v>79446.399999999994</v>
      </c>
      <c r="U26" s="381">
        <v>0</v>
      </c>
      <c r="V26" s="381">
        <v>28461.93</v>
      </c>
      <c r="W26" s="381">
        <v>81494.399999999994</v>
      </c>
      <c r="X26" s="381">
        <v>29585.26</v>
      </c>
      <c r="Y26" s="381">
        <v>81494.399999999994</v>
      </c>
      <c r="Z26" s="381">
        <v>30240.35</v>
      </c>
      <c r="AA26" s="377" t="s">
        <v>316</v>
      </c>
      <c r="AB26" s="377" t="s">
        <v>317</v>
      </c>
      <c r="AC26" s="377" t="s">
        <v>318</v>
      </c>
      <c r="AD26" s="377" t="s">
        <v>195</v>
      </c>
      <c r="AE26" s="377" t="s">
        <v>170</v>
      </c>
      <c r="AF26" s="377" t="s">
        <v>178</v>
      </c>
      <c r="AG26" s="377" t="s">
        <v>179</v>
      </c>
      <c r="AH26" s="382">
        <v>39.18</v>
      </c>
      <c r="AI26" s="382">
        <v>19738.7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5">
        <v>1</v>
      </c>
      <c r="AQ26" s="385">
        <v>1</v>
      </c>
      <c r="AR26" s="383" t="s">
        <v>184</v>
      </c>
      <c r="AS26" s="387">
        <f t="shared" si="27"/>
        <v>1</v>
      </c>
      <c r="AT26">
        <f t="shared" si="28"/>
        <v>1</v>
      </c>
      <c r="AU26" s="387">
        <f>IF(AT26=0,"",IF(AND(AT26=1,M26="F",SUMIF(C2:C76,C26,AS2:AS76)&lt;=1),SUMIF(C2:C76,C26,AS2:AS76),IF(AND(AT26=1,M26="F",SUMIF(C2:C76,C26,AS2:AS76)&gt;1),1,"")))</f>
        <v>1</v>
      </c>
      <c r="AV26" s="387" t="str">
        <f>IF(AT26=0,"",IF(AND(AT26=3,M26="F",SUMIF(C2:C76,C26,AS2:AS76)&lt;=1),SUMIF(C2:C76,C26,AS2:AS76),IF(AND(AT26=3,M26="F",SUMIF(C2:C76,C26,AS2:AS76)&gt;1),1,"")))</f>
        <v/>
      </c>
      <c r="AW26" s="387">
        <f>SUMIF(C2:C76,C26,O2:O76)</f>
        <v>1</v>
      </c>
      <c r="AX26" s="387">
        <f>IF(AND(M26="F",AS26&lt;&gt;0),SUMIF(C2:C76,C26,W2:W76),0)</f>
        <v>81494.399999999994</v>
      </c>
      <c r="AY26" s="387">
        <f t="shared" si="29"/>
        <v>81494.399999999994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5052.6527999999998</v>
      </c>
      <c r="BE26" s="387">
        <f t="shared" si="3"/>
        <v>1181.6687999999999</v>
      </c>
      <c r="BF26" s="387">
        <f t="shared" si="4"/>
        <v>9730.4313600000005</v>
      </c>
      <c r="BG26" s="387">
        <f t="shared" si="5"/>
        <v>587.57462399999997</v>
      </c>
      <c r="BH26" s="387">
        <f t="shared" si="6"/>
        <v>0</v>
      </c>
      <c r="BI26" s="387">
        <f t="shared" si="7"/>
        <v>451.07150399999995</v>
      </c>
      <c r="BJ26" s="387">
        <f t="shared" si="8"/>
        <v>81.494399999999999</v>
      </c>
      <c r="BK26" s="387">
        <f t="shared" si="9"/>
        <v>0</v>
      </c>
      <c r="BL26" s="387">
        <f t="shared" si="32"/>
        <v>17084.893487999998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5052.6527999999998</v>
      </c>
      <c r="BQ26" s="387">
        <f t="shared" si="13"/>
        <v>1181.6687999999999</v>
      </c>
      <c r="BR26" s="387">
        <f t="shared" si="14"/>
        <v>9111.0739199999989</v>
      </c>
      <c r="BS26" s="387">
        <f t="shared" si="15"/>
        <v>587.57462399999997</v>
      </c>
      <c r="BT26" s="387">
        <f t="shared" si="16"/>
        <v>0</v>
      </c>
      <c r="BU26" s="387">
        <f t="shared" si="17"/>
        <v>451.07150399999995</v>
      </c>
      <c r="BV26" s="387">
        <f t="shared" si="18"/>
        <v>105.94271999999999</v>
      </c>
      <c r="BW26" s="387">
        <f t="shared" si="19"/>
        <v>0</v>
      </c>
      <c r="BX26" s="387">
        <f t="shared" si="34"/>
        <v>16489.984367999998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-619.35744000000068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24.448319999999992</v>
      </c>
      <c r="CI26" s="387">
        <f t="shared" si="26"/>
        <v>0</v>
      </c>
      <c r="CJ26" s="387">
        <f t="shared" si="39"/>
        <v>-594.90912000000071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0229-00</v>
      </c>
    </row>
    <row r="27" spans="1:92" ht="15.75" thickBot="1" x14ac:dyDescent="0.3">
      <c r="A27" s="377" t="s">
        <v>162</v>
      </c>
      <c r="B27" s="377" t="s">
        <v>163</v>
      </c>
      <c r="C27" s="377" t="s">
        <v>319</v>
      </c>
      <c r="D27" s="377" t="s">
        <v>165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186</v>
      </c>
      <c r="K27" s="377" t="s">
        <v>170</v>
      </c>
      <c r="L27" s="377" t="s">
        <v>171</v>
      </c>
      <c r="M27" s="377" t="s">
        <v>172</v>
      </c>
      <c r="N27" s="377" t="s">
        <v>173</v>
      </c>
      <c r="O27" s="380">
        <v>1</v>
      </c>
      <c r="P27" s="385">
        <v>1</v>
      </c>
      <c r="Q27" s="385">
        <v>1</v>
      </c>
      <c r="R27" s="381">
        <v>80</v>
      </c>
      <c r="S27" s="385">
        <v>1</v>
      </c>
      <c r="T27" s="381">
        <v>76665.69</v>
      </c>
      <c r="U27" s="381">
        <v>0</v>
      </c>
      <c r="V27" s="381">
        <v>27909.39</v>
      </c>
      <c r="W27" s="381">
        <v>80433.600000000006</v>
      </c>
      <c r="X27" s="381">
        <v>29362.880000000001</v>
      </c>
      <c r="Y27" s="381">
        <v>80433.600000000006</v>
      </c>
      <c r="Z27" s="381">
        <v>30025.71</v>
      </c>
      <c r="AA27" s="377" t="s">
        <v>320</v>
      </c>
      <c r="AB27" s="377" t="s">
        <v>321</v>
      </c>
      <c r="AC27" s="377" t="s">
        <v>322</v>
      </c>
      <c r="AD27" s="377" t="s">
        <v>218</v>
      </c>
      <c r="AE27" s="377" t="s">
        <v>170</v>
      </c>
      <c r="AF27" s="377" t="s">
        <v>178</v>
      </c>
      <c r="AG27" s="377" t="s">
        <v>179</v>
      </c>
      <c r="AH27" s="382">
        <v>38.67</v>
      </c>
      <c r="AI27" s="380">
        <v>19623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5">
        <v>1</v>
      </c>
      <c r="AQ27" s="385">
        <v>1</v>
      </c>
      <c r="AR27" s="383" t="s">
        <v>184</v>
      </c>
      <c r="AS27" s="387">
        <f t="shared" si="27"/>
        <v>1</v>
      </c>
      <c r="AT27">
        <f t="shared" si="28"/>
        <v>1</v>
      </c>
      <c r="AU27" s="387">
        <f>IF(AT27=0,"",IF(AND(AT27=1,M27="F",SUMIF(C2:C76,C27,AS2:AS76)&lt;=1),SUMIF(C2:C76,C27,AS2:AS76),IF(AND(AT27=1,M27="F",SUMIF(C2:C76,C27,AS2:AS76)&gt;1),1,"")))</f>
        <v>1</v>
      </c>
      <c r="AV27" s="387" t="str">
        <f>IF(AT27=0,"",IF(AND(AT27=3,M27="F",SUMIF(C2:C76,C27,AS2:AS76)&lt;=1),SUMIF(C2:C76,C27,AS2:AS76),IF(AND(AT27=3,M27="F",SUMIF(C2:C76,C27,AS2:AS76)&gt;1),1,"")))</f>
        <v/>
      </c>
      <c r="AW27" s="387">
        <f>SUMIF(C2:C76,C27,O2:O76)</f>
        <v>1</v>
      </c>
      <c r="AX27" s="387">
        <f>IF(AND(M27="F",AS27&lt;&gt;0),SUMIF(C2:C76,C27,W2:W76),0)</f>
        <v>80433.600000000006</v>
      </c>
      <c r="AY27" s="387">
        <f t="shared" si="29"/>
        <v>80433.600000000006</v>
      </c>
      <c r="AZ27" s="387" t="str">
        <f t="shared" si="30"/>
        <v/>
      </c>
      <c r="BA27" s="387">
        <f t="shared" si="31"/>
        <v>0</v>
      </c>
      <c r="BB27" s="387">
        <f t="shared" si="0"/>
        <v>12500</v>
      </c>
      <c r="BC27" s="387">
        <f t="shared" si="1"/>
        <v>0</v>
      </c>
      <c r="BD27" s="387">
        <f t="shared" si="2"/>
        <v>4986.8832000000002</v>
      </c>
      <c r="BE27" s="387">
        <f t="shared" si="3"/>
        <v>1166.2872000000002</v>
      </c>
      <c r="BF27" s="387">
        <f t="shared" si="4"/>
        <v>9603.7718400000012</v>
      </c>
      <c r="BG27" s="387">
        <f t="shared" si="5"/>
        <v>579.92625600000008</v>
      </c>
      <c r="BH27" s="387">
        <f t="shared" si="6"/>
        <v>0</v>
      </c>
      <c r="BI27" s="387">
        <f t="shared" si="7"/>
        <v>445.19997600000005</v>
      </c>
      <c r="BJ27" s="387">
        <f t="shared" si="8"/>
        <v>80.433600000000013</v>
      </c>
      <c r="BK27" s="387">
        <f t="shared" si="9"/>
        <v>0</v>
      </c>
      <c r="BL27" s="387">
        <f t="shared" si="32"/>
        <v>16862.502072000003</v>
      </c>
      <c r="BM27" s="387">
        <f t="shared" si="33"/>
        <v>0</v>
      </c>
      <c r="BN27" s="387">
        <f t="shared" si="10"/>
        <v>13750</v>
      </c>
      <c r="BO27" s="387">
        <f t="shared" si="11"/>
        <v>0</v>
      </c>
      <c r="BP27" s="387">
        <f t="shared" si="12"/>
        <v>4986.8832000000002</v>
      </c>
      <c r="BQ27" s="387">
        <f t="shared" si="13"/>
        <v>1166.2872000000002</v>
      </c>
      <c r="BR27" s="387">
        <f t="shared" si="14"/>
        <v>8992.4764800000012</v>
      </c>
      <c r="BS27" s="387">
        <f t="shared" si="15"/>
        <v>579.92625600000008</v>
      </c>
      <c r="BT27" s="387">
        <f t="shared" si="16"/>
        <v>0</v>
      </c>
      <c r="BU27" s="387">
        <f t="shared" si="17"/>
        <v>445.19997600000005</v>
      </c>
      <c r="BV27" s="387">
        <f t="shared" si="18"/>
        <v>104.56368000000001</v>
      </c>
      <c r="BW27" s="387">
        <f t="shared" si="19"/>
        <v>0</v>
      </c>
      <c r="BX27" s="387">
        <f t="shared" si="34"/>
        <v>16275.336792000002</v>
      </c>
      <c r="BY27" s="387">
        <f t="shared" si="35"/>
        <v>0</v>
      </c>
      <c r="BZ27" s="387">
        <f t="shared" si="36"/>
        <v>1250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-611.29536000000076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24.130079999999996</v>
      </c>
      <c r="CI27" s="387">
        <f t="shared" si="26"/>
        <v>0</v>
      </c>
      <c r="CJ27" s="387">
        <f t="shared" si="39"/>
        <v>-587.16528000000073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0229-00</v>
      </c>
    </row>
    <row r="28" spans="1:92" ht="15.75" thickBot="1" x14ac:dyDescent="0.3">
      <c r="A28" s="377" t="s">
        <v>162</v>
      </c>
      <c r="B28" s="377" t="s">
        <v>163</v>
      </c>
      <c r="C28" s="377" t="s">
        <v>323</v>
      </c>
      <c r="D28" s="377" t="s">
        <v>189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186</v>
      </c>
      <c r="K28" s="377" t="s">
        <v>190</v>
      </c>
      <c r="L28" s="377" t="s">
        <v>191</v>
      </c>
      <c r="M28" s="377" t="s">
        <v>172</v>
      </c>
      <c r="N28" s="377" t="s">
        <v>173</v>
      </c>
      <c r="O28" s="380">
        <v>1</v>
      </c>
      <c r="P28" s="385">
        <v>1</v>
      </c>
      <c r="Q28" s="385">
        <v>1</v>
      </c>
      <c r="R28" s="381">
        <v>80</v>
      </c>
      <c r="S28" s="385">
        <v>1</v>
      </c>
      <c r="T28" s="381">
        <v>57577.09</v>
      </c>
      <c r="U28" s="381">
        <v>0</v>
      </c>
      <c r="V28" s="381">
        <v>23598.7</v>
      </c>
      <c r="W28" s="381">
        <v>68452.800000000003</v>
      </c>
      <c r="X28" s="381">
        <v>26851.1</v>
      </c>
      <c r="Y28" s="381">
        <v>68452.800000000003</v>
      </c>
      <c r="Z28" s="381">
        <v>27601.39</v>
      </c>
      <c r="AA28" s="377" t="s">
        <v>324</v>
      </c>
      <c r="AB28" s="377" t="s">
        <v>325</v>
      </c>
      <c r="AC28" s="377" t="s">
        <v>326</v>
      </c>
      <c r="AD28" s="377" t="s">
        <v>262</v>
      </c>
      <c r="AE28" s="377" t="s">
        <v>327</v>
      </c>
      <c r="AF28" s="377" t="s">
        <v>212</v>
      </c>
      <c r="AG28" s="377" t="s">
        <v>179</v>
      </c>
      <c r="AH28" s="382">
        <v>32.909999999999997</v>
      </c>
      <c r="AI28" s="382">
        <v>2159.6999999999998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5">
        <v>1</v>
      </c>
      <c r="AQ28" s="385">
        <v>1</v>
      </c>
      <c r="AR28" s="383" t="s">
        <v>184</v>
      </c>
      <c r="AS28" s="387">
        <f t="shared" si="27"/>
        <v>1</v>
      </c>
      <c r="AT28">
        <f t="shared" si="28"/>
        <v>1</v>
      </c>
      <c r="AU28" s="387">
        <f>IF(AT28=0,"",IF(AND(AT28=1,M28="F",SUMIF(C2:C76,C28,AS2:AS76)&lt;=1),SUMIF(C2:C76,C28,AS2:AS76),IF(AND(AT28=1,M28="F",SUMIF(C2:C76,C28,AS2:AS76)&gt;1),1,"")))</f>
        <v>1</v>
      </c>
      <c r="AV28" s="387" t="str">
        <f>IF(AT28=0,"",IF(AND(AT28=3,M28="F",SUMIF(C2:C76,C28,AS2:AS76)&lt;=1),SUMIF(C2:C76,C28,AS2:AS76),IF(AND(AT28=3,M28="F",SUMIF(C2:C76,C28,AS2:AS76)&gt;1),1,"")))</f>
        <v/>
      </c>
      <c r="AW28" s="387">
        <f>SUMIF(C2:C76,C28,O2:O76)</f>
        <v>1</v>
      </c>
      <c r="AX28" s="387">
        <f>IF(AND(M28="F",AS28&lt;&gt;0),SUMIF(C2:C76,C28,W2:W76),0)</f>
        <v>68452.800000000003</v>
      </c>
      <c r="AY28" s="387">
        <f t="shared" si="29"/>
        <v>68452.800000000003</v>
      </c>
      <c r="AZ28" s="387" t="str">
        <f t="shared" si="30"/>
        <v/>
      </c>
      <c r="BA28" s="387">
        <f t="shared" si="31"/>
        <v>0</v>
      </c>
      <c r="BB28" s="387">
        <f t="shared" si="0"/>
        <v>12500</v>
      </c>
      <c r="BC28" s="387">
        <f t="shared" si="1"/>
        <v>0</v>
      </c>
      <c r="BD28" s="387">
        <f t="shared" si="2"/>
        <v>4244.0735999999997</v>
      </c>
      <c r="BE28" s="387">
        <f t="shared" si="3"/>
        <v>992.56560000000013</v>
      </c>
      <c r="BF28" s="387">
        <f t="shared" si="4"/>
        <v>8173.2643200000011</v>
      </c>
      <c r="BG28" s="387">
        <f t="shared" si="5"/>
        <v>493.54468800000006</v>
      </c>
      <c r="BH28" s="387">
        <f t="shared" si="6"/>
        <v>0</v>
      </c>
      <c r="BI28" s="387">
        <f t="shared" si="7"/>
        <v>378.88624800000002</v>
      </c>
      <c r="BJ28" s="387">
        <f t="shared" si="8"/>
        <v>68.452800000000011</v>
      </c>
      <c r="BK28" s="387">
        <f t="shared" si="9"/>
        <v>0</v>
      </c>
      <c r="BL28" s="387">
        <f t="shared" si="32"/>
        <v>14350.787256</v>
      </c>
      <c r="BM28" s="387">
        <f t="shared" si="33"/>
        <v>0</v>
      </c>
      <c r="BN28" s="387">
        <f t="shared" si="10"/>
        <v>13750</v>
      </c>
      <c r="BO28" s="387">
        <f t="shared" si="11"/>
        <v>0</v>
      </c>
      <c r="BP28" s="387">
        <f t="shared" si="12"/>
        <v>4244.0735999999997</v>
      </c>
      <c r="BQ28" s="387">
        <f t="shared" si="13"/>
        <v>992.56560000000013</v>
      </c>
      <c r="BR28" s="387">
        <f t="shared" si="14"/>
        <v>7653.02304</v>
      </c>
      <c r="BS28" s="387">
        <f t="shared" si="15"/>
        <v>493.54468800000006</v>
      </c>
      <c r="BT28" s="387">
        <f t="shared" si="16"/>
        <v>0</v>
      </c>
      <c r="BU28" s="387">
        <f t="shared" si="17"/>
        <v>378.88624800000002</v>
      </c>
      <c r="BV28" s="387">
        <f t="shared" si="18"/>
        <v>88.988640000000004</v>
      </c>
      <c r="BW28" s="387">
        <f t="shared" si="19"/>
        <v>0</v>
      </c>
      <c r="BX28" s="387">
        <f t="shared" si="34"/>
        <v>13851.081816</v>
      </c>
      <c r="BY28" s="387">
        <f t="shared" si="35"/>
        <v>0</v>
      </c>
      <c r="BZ28" s="387">
        <f t="shared" si="36"/>
        <v>1250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-520.24128000000064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20.535839999999997</v>
      </c>
      <c r="CI28" s="387">
        <f t="shared" si="26"/>
        <v>0</v>
      </c>
      <c r="CJ28" s="387">
        <f t="shared" si="39"/>
        <v>-499.70544000000064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0229-00</v>
      </c>
    </row>
    <row r="29" spans="1:92" ht="15.75" thickBot="1" x14ac:dyDescent="0.3">
      <c r="A29" s="377" t="s">
        <v>162</v>
      </c>
      <c r="B29" s="377" t="s">
        <v>163</v>
      </c>
      <c r="C29" s="377" t="s">
        <v>328</v>
      </c>
      <c r="D29" s="377" t="s">
        <v>165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186</v>
      </c>
      <c r="K29" s="377" t="s">
        <v>214</v>
      </c>
      <c r="L29" s="377" t="s">
        <v>191</v>
      </c>
      <c r="M29" s="377" t="s">
        <v>172</v>
      </c>
      <c r="N29" s="377" t="s">
        <v>173</v>
      </c>
      <c r="O29" s="380">
        <v>1</v>
      </c>
      <c r="P29" s="385">
        <v>1</v>
      </c>
      <c r="Q29" s="385">
        <v>1</v>
      </c>
      <c r="R29" s="381">
        <v>80</v>
      </c>
      <c r="S29" s="385">
        <v>1</v>
      </c>
      <c r="T29" s="381">
        <v>91726.41</v>
      </c>
      <c r="U29" s="381">
        <v>0</v>
      </c>
      <c r="V29" s="381">
        <v>31156.66</v>
      </c>
      <c r="W29" s="381">
        <v>95846.399999999994</v>
      </c>
      <c r="X29" s="381">
        <v>32594.17</v>
      </c>
      <c r="Y29" s="381">
        <v>95846.399999999994</v>
      </c>
      <c r="Z29" s="381">
        <v>33144.49</v>
      </c>
      <c r="AA29" s="377" t="s">
        <v>329</v>
      </c>
      <c r="AB29" s="377" t="s">
        <v>330</v>
      </c>
      <c r="AC29" s="377" t="s">
        <v>331</v>
      </c>
      <c r="AD29" s="377" t="s">
        <v>332</v>
      </c>
      <c r="AE29" s="377" t="s">
        <v>214</v>
      </c>
      <c r="AF29" s="377" t="s">
        <v>196</v>
      </c>
      <c r="AG29" s="377" t="s">
        <v>179</v>
      </c>
      <c r="AH29" s="382">
        <v>46.08</v>
      </c>
      <c r="AI29" s="380">
        <v>36222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5">
        <v>1</v>
      </c>
      <c r="AQ29" s="385">
        <v>1</v>
      </c>
      <c r="AR29" s="383" t="s">
        <v>184</v>
      </c>
      <c r="AS29" s="387">
        <f t="shared" si="27"/>
        <v>1</v>
      </c>
      <c r="AT29">
        <f t="shared" si="28"/>
        <v>1</v>
      </c>
      <c r="AU29" s="387">
        <f>IF(AT29=0,"",IF(AND(AT29=1,M29="F",SUMIF(C2:C76,C29,AS2:AS76)&lt;=1),SUMIF(C2:C76,C29,AS2:AS76),IF(AND(AT29=1,M29="F",SUMIF(C2:C76,C29,AS2:AS76)&gt;1),1,"")))</f>
        <v>1</v>
      </c>
      <c r="AV29" s="387" t="str">
        <f>IF(AT29=0,"",IF(AND(AT29=3,M29="F",SUMIF(C2:C76,C29,AS2:AS76)&lt;=1),SUMIF(C2:C76,C29,AS2:AS76),IF(AND(AT29=3,M29="F",SUMIF(C2:C76,C29,AS2:AS76)&gt;1),1,"")))</f>
        <v/>
      </c>
      <c r="AW29" s="387">
        <f>SUMIF(C2:C76,C29,O2:O76)</f>
        <v>1</v>
      </c>
      <c r="AX29" s="387">
        <f>IF(AND(M29="F",AS29&lt;&gt;0),SUMIF(C2:C76,C29,W2:W76),0)</f>
        <v>95846.399999999994</v>
      </c>
      <c r="AY29" s="387">
        <f t="shared" si="29"/>
        <v>95846.399999999994</v>
      </c>
      <c r="AZ29" s="387" t="str">
        <f t="shared" si="30"/>
        <v/>
      </c>
      <c r="BA29" s="387">
        <f t="shared" si="31"/>
        <v>0</v>
      </c>
      <c r="BB29" s="387">
        <f t="shared" si="0"/>
        <v>12500</v>
      </c>
      <c r="BC29" s="387">
        <f t="shared" si="1"/>
        <v>0</v>
      </c>
      <c r="BD29" s="387">
        <f t="shared" si="2"/>
        <v>5942.4767999999995</v>
      </c>
      <c r="BE29" s="387">
        <f t="shared" si="3"/>
        <v>1389.7728</v>
      </c>
      <c r="BF29" s="387">
        <f t="shared" si="4"/>
        <v>11444.060159999999</v>
      </c>
      <c r="BG29" s="387">
        <f t="shared" si="5"/>
        <v>691.05254400000001</v>
      </c>
      <c r="BH29" s="387">
        <f t="shared" si="6"/>
        <v>0</v>
      </c>
      <c r="BI29" s="387">
        <f t="shared" si="7"/>
        <v>530.50982399999998</v>
      </c>
      <c r="BJ29" s="387">
        <f t="shared" si="8"/>
        <v>95.846400000000003</v>
      </c>
      <c r="BK29" s="387">
        <f t="shared" si="9"/>
        <v>0</v>
      </c>
      <c r="BL29" s="387">
        <f t="shared" si="32"/>
        <v>20093.718527999994</v>
      </c>
      <c r="BM29" s="387">
        <f t="shared" si="33"/>
        <v>0</v>
      </c>
      <c r="BN29" s="387">
        <f t="shared" si="10"/>
        <v>13750</v>
      </c>
      <c r="BO29" s="387">
        <f t="shared" si="11"/>
        <v>0</v>
      </c>
      <c r="BP29" s="387">
        <f t="shared" si="12"/>
        <v>5942.4767999999995</v>
      </c>
      <c r="BQ29" s="387">
        <f t="shared" si="13"/>
        <v>1389.7728</v>
      </c>
      <c r="BR29" s="387">
        <f t="shared" si="14"/>
        <v>10715.627519999998</v>
      </c>
      <c r="BS29" s="387">
        <f t="shared" si="15"/>
        <v>691.05254400000001</v>
      </c>
      <c r="BT29" s="387">
        <f t="shared" si="16"/>
        <v>0</v>
      </c>
      <c r="BU29" s="387">
        <f t="shared" si="17"/>
        <v>530.50982399999998</v>
      </c>
      <c r="BV29" s="387">
        <f t="shared" si="18"/>
        <v>124.60031999999998</v>
      </c>
      <c r="BW29" s="387">
        <f t="shared" si="19"/>
        <v>0</v>
      </c>
      <c r="BX29" s="387">
        <f t="shared" si="34"/>
        <v>19394.039807999998</v>
      </c>
      <c r="BY29" s="387">
        <f t="shared" si="35"/>
        <v>0</v>
      </c>
      <c r="BZ29" s="387">
        <f t="shared" si="36"/>
        <v>1250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-728.4326400000009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28.75391999999999</v>
      </c>
      <c r="CI29" s="387">
        <f t="shared" si="26"/>
        <v>0</v>
      </c>
      <c r="CJ29" s="387">
        <f t="shared" si="39"/>
        <v>-699.67872000000091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0229-00</v>
      </c>
    </row>
    <row r="30" spans="1:92" ht="15.75" thickBot="1" x14ac:dyDescent="0.3">
      <c r="A30" s="377" t="s">
        <v>162</v>
      </c>
      <c r="B30" s="377" t="s">
        <v>163</v>
      </c>
      <c r="C30" s="377" t="s">
        <v>333</v>
      </c>
      <c r="D30" s="377" t="s">
        <v>334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276</v>
      </c>
      <c r="K30" s="377" t="s">
        <v>335</v>
      </c>
      <c r="L30" s="377" t="s">
        <v>179</v>
      </c>
      <c r="M30" s="377" t="s">
        <v>172</v>
      </c>
      <c r="N30" s="377" t="s">
        <v>173</v>
      </c>
      <c r="O30" s="380">
        <v>1</v>
      </c>
      <c r="P30" s="385">
        <v>1</v>
      </c>
      <c r="Q30" s="385">
        <v>1</v>
      </c>
      <c r="R30" s="381">
        <v>80</v>
      </c>
      <c r="S30" s="385">
        <v>1</v>
      </c>
      <c r="T30" s="381">
        <v>38712</v>
      </c>
      <c r="U30" s="381">
        <v>0</v>
      </c>
      <c r="V30" s="381">
        <v>19755.330000000002</v>
      </c>
      <c r="W30" s="381">
        <v>42619.199999999997</v>
      </c>
      <c r="X30" s="381">
        <v>21435.08</v>
      </c>
      <c r="Y30" s="381">
        <v>42619.199999999997</v>
      </c>
      <c r="Z30" s="381">
        <v>22373.96</v>
      </c>
      <c r="AA30" s="377" t="s">
        <v>336</v>
      </c>
      <c r="AB30" s="377" t="s">
        <v>337</v>
      </c>
      <c r="AC30" s="377" t="s">
        <v>338</v>
      </c>
      <c r="AD30" s="377" t="s">
        <v>218</v>
      </c>
      <c r="AE30" s="377" t="s">
        <v>335</v>
      </c>
      <c r="AF30" s="377" t="s">
        <v>339</v>
      </c>
      <c r="AG30" s="377" t="s">
        <v>179</v>
      </c>
      <c r="AH30" s="382">
        <v>20.49</v>
      </c>
      <c r="AI30" s="382">
        <v>22842.5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5">
        <v>1</v>
      </c>
      <c r="AQ30" s="385">
        <v>1</v>
      </c>
      <c r="AR30" s="383" t="s">
        <v>184</v>
      </c>
      <c r="AS30" s="387">
        <f t="shared" si="27"/>
        <v>1</v>
      </c>
      <c r="AT30">
        <f t="shared" si="28"/>
        <v>1</v>
      </c>
      <c r="AU30" s="387">
        <f>IF(AT30=0,"",IF(AND(AT30=1,M30="F",SUMIF(C2:C76,C30,AS2:AS76)&lt;=1),SUMIF(C2:C76,C30,AS2:AS76),IF(AND(AT30=1,M30="F",SUMIF(C2:C76,C30,AS2:AS76)&gt;1),1,"")))</f>
        <v>1</v>
      </c>
      <c r="AV30" s="387" t="str">
        <f>IF(AT30=0,"",IF(AND(AT30=3,M30="F",SUMIF(C2:C76,C30,AS2:AS76)&lt;=1),SUMIF(C2:C76,C30,AS2:AS76),IF(AND(AT30=3,M30="F",SUMIF(C2:C76,C30,AS2:AS76)&gt;1),1,"")))</f>
        <v/>
      </c>
      <c r="AW30" s="387">
        <f>SUMIF(C2:C76,C30,O2:O76)</f>
        <v>1</v>
      </c>
      <c r="AX30" s="387">
        <f>IF(AND(M30="F",AS30&lt;&gt;0),SUMIF(C2:C76,C30,W2:W76),0)</f>
        <v>42619.199999999997</v>
      </c>
      <c r="AY30" s="387">
        <f t="shared" si="29"/>
        <v>42619.199999999997</v>
      </c>
      <c r="AZ30" s="387" t="str">
        <f t="shared" si="30"/>
        <v/>
      </c>
      <c r="BA30" s="387">
        <f t="shared" si="31"/>
        <v>0</v>
      </c>
      <c r="BB30" s="387">
        <f t="shared" si="0"/>
        <v>12500</v>
      </c>
      <c r="BC30" s="387">
        <f t="shared" si="1"/>
        <v>0</v>
      </c>
      <c r="BD30" s="387">
        <f t="shared" si="2"/>
        <v>2642.3903999999998</v>
      </c>
      <c r="BE30" s="387">
        <f t="shared" si="3"/>
        <v>617.97839999999997</v>
      </c>
      <c r="BF30" s="387">
        <f t="shared" si="4"/>
        <v>5088.7324799999997</v>
      </c>
      <c r="BG30" s="387">
        <f t="shared" si="5"/>
        <v>307.28443199999998</v>
      </c>
      <c r="BH30" s="387">
        <f t="shared" si="6"/>
        <v>0</v>
      </c>
      <c r="BI30" s="387">
        <f t="shared" si="7"/>
        <v>235.89727199999999</v>
      </c>
      <c r="BJ30" s="387">
        <f t="shared" si="8"/>
        <v>42.619199999999999</v>
      </c>
      <c r="BK30" s="387">
        <f t="shared" si="9"/>
        <v>0</v>
      </c>
      <c r="BL30" s="387">
        <f t="shared" si="32"/>
        <v>8934.9021839999987</v>
      </c>
      <c r="BM30" s="387">
        <f t="shared" si="33"/>
        <v>0</v>
      </c>
      <c r="BN30" s="387">
        <f t="shared" si="10"/>
        <v>13750</v>
      </c>
      <c r="BO30" s="387">
        <f t="shared" si="11"/>
        <v>0</v>
      </c>
      <c r="BP30" s="387">
        <f t="shared" si="12"/>
        <v>2642.3903999999998</v>
      </c>
      <c r="BQ30" s="387">
        <f t="shared" si="13"/>
        <v>617.97839999999997</v>
      </c>
      <c r="BR30" s="387">
        <f t="shared" si="14"/>
        <v>4764.8265599999995</v>
      </c>
      <c r="BS30" s="387">
        <f t="shared" si="15"/>
        <v>307.28443199999998</v>
      </c>
      <c r="BT30" s="387">
        <f t="shared" si="16"/>
        <v>0</v>
      </c>
      <c r="BU30" s="387">
        <f t="shared" si="17"/>
        <v>235.89727199999999</v>
      </c>
      <c r="BV30" s="387">
        <f t="shared" si="18"/>
        <v>55.404959999999996</v>
      </c>
      <c r="BW30" s="387">
        <f t="shared" si="19"/>
        <v>0</v>
      </c>
      <c r="BX30" s="387">
        <f t="shared" si="34"/>
        <v>8623.7820240000001</v>
      </c>
      <c r="BY30" s="387">
        <f t="shared" si="35"/>
        <v>0</v>
      </c>
      <c r="BZ30" s="387">
        <f t="shared" si="36"/>
        <v>1250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-323.90592000000038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12.785759999999996</v>
      </c>
      <c r="CI30" s="387">
        <f t="shared" si="26"/>
        <v>0</v>
      </c>
      <c r="CJ30" s="387">
        <f t="shared" si="39"/>
        <v>-311.1201600000004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0229-00</v>
      </c>
    </row>
    <row r="31" spans="1:92" ht="15.75" thickBot="1" x14ac:dyDescent="0.3">
      <c r="A31" s="377" t="s">
        <v>162</v>
      </c>
      <c r="B31" s="377" t="s">
        <v>163</v>
      </c>
      <c r="C31" s="377" t="s">
        <v>340</v>
      </c>
      <c r="D31" s="377" t="s">
        <v>334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186</v>
      </c>
      <c r="K31" s="377" t="s">
        <v>335</v>
      </c>
      <c r="L31" s="377" t="s">
        <v>179</v>
      </c>
      <c r="M31" s="377" t="s">
        <v>172</v>
      </c>
      <c r="N31" s="377" t="s">
        <v>173</v>
      </c>
      <c r="O31" s="380">
        <v>1</v>
      </c>
      <c r="P31" s="385">
        <v>1</v>
      </c>
      <c r="Q31" s="385">
        <v>1</v>
      </c>
      <c r="R31" s="381">
        <v>80</v>
      </c>
      <c r="S31" s="385">
        <v>1</v>
      </c>
      <c r="T31" s="381">
        <v>34735.89</v>
      </c>
      <c r="U31" s="381">
        <v>0</v>
      </c>
      <c r="V31" s="381">
        <v>19044.03</v>
      </c>
      <c r="W31" s="381">
        <v>38417.599999999999</v>
      </c>
      <c r="X31" s="381">
        <v>20554.23</v>
      </c>
      <c r="Y31" s="381">
        <v>38417.599999999999</v>
      </c>
      <c r="Z31" s="381">
        <v>21523.78</v>
      </c>
      <c r="AA31" s="377" t="s">
        <v>341</v>
      </c>
      <c r="AB31" s="377" t="s">
        <v>342</v>
      </c>
      <c r="AC31" s="377" t="s">
        <v>343</v>
      </c>
      <c r="AD31" s="377" t="s">
        <v>344</v>
      </c>
      <c r="AE31" s="377" t="s">
        <v>335</v>
      </c>
      <c r="AF31" s="377" t="s">
        <v>339</v>
      </c>
      <c r="AG31" s="377" t="s">
        <v>179</v>
      </c>
      <c r="AH31" s="382">
        <v>18.47</v>
      </c>
      <c r="AI31" s="382">
        <v>13377.3</v>
      </c>
      <c r="AJ31" s="377" t="s">
        <v>180</v>
      </c>
      <c r="AK31" s="377" t="s">
        <v>181</v>
      </c>
      <c r="AL31" s="377" t="s">
        <v>182</v>
      </c>
      <c r="AM31" s="377" t="s">
        <v>183</v>
      </c>
      <c r="AN31" s="377" t="s">
        <v>66</v>
      </c>
      <c r="AO31" s="380">
        <v>80</v>
      </c>
      <c r="AP31" s="385">
        <v>1</v>
      </c>
      <c r="AQ31" s="385">
        <v>1</v>
      </c>
      <c r="AR31" s="383" t="s">
        <v>184</v>
      </c>
      <c r="AS31" s="387">
        <f t="shared" si="27"/>
        <v>1</v>
      </c>
      <c r="AT31">
        <f t="shared" si="28"/>
        <v>1</v>
      </c>
      <c r="AU31" s="387">
        <f>IF(AT31=0,"",IF(AND(AT31=1,M31="F",SUMIF(C2:C76,C31,AS2:AS76)&lt;=1),SUMIF(C2:C76,C31,AS2:AS76),IF(AND(AT31=1,M31="F",SUMIF(C2:C76,C31,AS2:AS76)&gt;1),1,"")))</f>
        <v>1</v>
      </c>
      <c r="AV31" s="387" t="str">
        <f>IF(AT31=0,"",IF(AND(AT31=3,M31="F",SUMIF(C2:C76,C31,AS2:AS76)&lt;=1),SUMIF(C2:C76,C31,AS2:AS76),IF(AND(AT31=3,M31="F",SUMIF(C2:C76,C31,AS2:AS76)&gt;1),1,"")))</f>
        <v/>
      </c>
      <c r="AW31" s="387">
        <f>SUMIF(C2:C76,C31,O2:O76)</f>
        <v>1</v>
      </c>
      <c r="AX31" s="387">
        <f>IF(AND(M31="F",AS31&lt;&gt;0),SUMIF(C2:C76,C31,W2:W76),0)</f>
        <v>38417.599999999999</v>
      </c>
      <c r="AY31" s="387">
        <f t="shared" si="29"/>
        <v>38417.599999999999</v>
      </c>
      <c r="AZ31" s="387" t="str">
        <f t="shared" si="30"/>
        <v/>
      </c>
      <c r="BA31" s="387">
        <f t="shared" si="31"/>
        <v>0</v>
      </c>
      <c r="BB31" s="387">
        <f t="shared" si="0"/>
        <v>12500</v>
      </c>
      <c r="BC31" s="387">
        <f t="shared" si="1"/>
        <v>0</v>
      </c>
      <c r="BD31" s="387">
        <f t="shared" si="2"/>
        <v>2381.8912</v>
      </c>
      <c r="BE31" s="387">
        <f t="shared" si="3"/>
        <v>557.05520000000001</v>
      </c>
      <c r="BF31" s="387">
        <f t="shared" si="4"/>
        <v>4587.0614400000004</v>
      </c>
      <c r="BG31" s="387">
        <f t="shared" si="5"/>
        <v>276.99089600000002</v>
      </c>
      <c r="BH31" s="387">
        <f t="shared" si="6"/>
        <v>0</v>
      </c>
      <c r="BI31" s="387">
        <f t="shared" si="7"/>
        <v>212.64141599999999</v>
      </c>
      <c r="BJ31" s="387">
        <f t="shared" si="8"/>
        <v>38.4176</v>
      </c>
      <c r="BK31" s="387">
        <f t="shared" si="9"/>
        <v>0</v>
      </c>
      <c r="BL31" s="387">
        <f t="shared" si="32"/>
        <v>8054.0577520000006</v>
      </c>
      <c r="BM31" s="387">
        <f t="shared" si="33"/>
        <v>0</v>
      </c>
      <c r="BN31" s="387">
        <f t="shared" si="10"/>
        <v>13750</v>
      </c>
      <c r="BO31" s="387">
        <f t="shared" si="11"/>
        <v>0</v>
      </c>
      <c r="BP31" s="387">
        <f t="shared" si="12"/>
        <v>2381.8912</v>
      </c>
      <c r="BQ31" s="387">
        <f t="shared" si="13"/>
        <v>557.05520000000001</v>
      </c>
      <c r="BR31" s="387">
        <f t="shared" si="14"/>
        <v>4295.0876799999996</v>
      </c>
      <c r="BS31" s="387">
        <f t="shared" si="15"/>
        <v>276.99089600000002</v>
      </c>
      <c r="BT31" s="387">
        <f t="shared" si="16"/>
        <v>0</v>
      </c>
      <c r="BU31" s="387">
        <f t="shared" si="17"/>
        <v>212.64141599999999</v>
      </c>
      <c r="BV31" s="387">
        <f t="shared" si="18"/>
        <v>49.942879999999995</v>
      </c>
      <c r="BW31" s="387">
        <f t="shared" si="19"/>
        <v>0</v>
      </c>
      <c r="BX31" s="387">
        <f t="shared" si="34"/>
        <v>7773.6092719999997</v>
      </c>
      <c r="BY31" s="387">
        <f t="shared" si="35"/>
        <v>0</v>
      </c>
      <c r="BZ31" s="387">
        <f t="shared" si="36"/>
        <v>1250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-291.97376000000037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11.525279999999997</v>
      </c>
      <c r="CI31" s="387">
        <f t="shared" si="26"/>
        <v>0</v>
      </c>
      <c r="CJ31" s="387">
        <f t="shared" si="39"/>
        <v>-280.44848000000036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0229-00</v>
      </c>
    </row>
    <row r="32" spans="1:92" ht="15.75" thickBot="1" x14ac:dyDescent="0.3">
      <c r="A32" s="377" t="s">
        <v>162</v>
      </c>
      <c r="B32" s="377" t="s">
        <v>163</v>
      </c>
      <c r="C32" s="377" t="s">
        <v>345</v>
      </c>
      <c r="D32" s="377" t="s">
        <v>165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186</v>
      </c>
      <c r="K32" s="377" t="s">
        <v>170</v>
      </c>
      <c r="L32" s="377" t="s">
        <v>171</v>
      </c>
      <c r="M32" s="377" t="s">
        <v>172</v>
      </c>
      <c r="N32" s="377" t="s">
        <v>173</v>
      </c>
      <c r="O32" s="380">
        <v>1</v>
      </c>
      <c r="P32" s="385">
        <v>1</v>
      </c>
      <c r="Q32" s="385">
        <v>1</v>
      </c>
      <c r="R32" s="381">
        <v>80</v>
      </c>
      <c r="S32" s="385">
        <v>1</v>
      </c>
      <c r="T32" s="381">
        <v>63917.61</v>
      </c>
      <c r="U32" s="381">
        <v>0</v>
      </c>
      <c r="V32" s="381">
        <v>25241.07</v>
      </c>
      <c r="W32" s="381">
        <v>70844.800000000003</v>
      </c>
      <c r="X32" s="381">
        <v>27352.58</v>
      </c>
      <c r="Y32" s="381">
        <v>70844.800000000003</v>
      </c>
      <c r="Z32" s="381">
        <v>28085.41</v>
      </c>
      <c r="AA32" s="377" t="s">
        <v>346</v>
      </c>
      <c r="AB32" s="377" t="s">
        <v>347</v>
      </c>
      <c r="AC32" s="377" t="s">
        <v>348</v>
      </c>
      <c r="AD32" s="377" t="s">
        <v>171</v>
      </c>
      <c r="AE32" s="377" t="s">
        <v>211</v>
      </c>
      <c r="AF32" s="377" t="s">
        <v>212</v>
      </c>
      <c r="AG32" s="377" t="s">
        <v>179</v>
      </c>
      <c r="AH32" s="382">
        <v>34.06</v>
      </c>
      <c r="AI32" s="382">
        <v>2601.1999999999998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5">
        <v>1</v>
      </c>
      <c r="AQ32" s="385">
        <v>1</v>
      </c>
      <c r="AR32" s="383" t="s">
        <v>184</v>
      </c>
      <c r="AS32" s="387">
        <f t="shared" si="27"/>
        <v>1</v>
      </c>
      <c r="AT32">
        <f t="shared" si="28"/>
        <v>1</v>
      </c>
      <c r="AU32" s="387">
        <f>IF(AT32=0,"",IF(AND(AT32=1,M32="F",SUMIF(C2:C76,C32,AS2:AS76)&lt;=1),SUMIF(C2:C76,C32,AS2:AS76),IF(AND(AT32=1,M32="F",SUMIF(C2:C76,C32,AS2:AS76)&gt;1),1,"")))</f>
        <v>1</v>
      </c>
      <c r="AV32" s="387" t="str">
        <f>IF(AT32=0,"",IF(AND(AT32=3,M32="F",SUMIF(C2:C76,C32,AS2:AS76)&lt;=1),SUMIF(C2:C76,C32,AS2:AS76),IF(AND(AT32=3,M32="F",SUMIF(C2:C76,C32,AS2:AS76)&gt;1),1,"")))</f>
        <v/>
      </c>
      <c r="AW32" s="387">
        <f>SUMIF(C2:C76,C32,O2:O76)</f>
        <v>1</v>
      </c>
      <c r="AX32" s="387">
        <f>IF(AND(M32="F",AS32&lt;&gt;0),SUMIF(C2:C76,C32,W2:W76),0)</f>
        <v>70844.800000000003</v>
      </c>
      <c r="AY32" s="387">
        <f t="shared" si="29"/>
        <v>70844.800000000003</v>
      </c>
      <c r="AZ32" s="387" t="str">
        <f t="shared" si="30"/>
        <v/>
      </c>
      <c r="BA32" s="387">
        <f t="shared" si="31"/>
        <v>0</v>
      </c>
      <c r="BB32" s="387">
        <f t="shared" si="0"/>
        <v>12500</v>
      </c>
      <c r="BC32" s="387">
        <f t="shared" si="1"/>
        <v>0</v>
      </c>
      <c r="BD32" s="387">
        <f t="shared" si="2"/>
        <v>4392.3775999999998</v>
      </c>
      <c r="BE32" s="387">
        <f t="shared" si="3"/>
        <v>1027.2496000000001</v>
      </c>
      <c r="BF32" s="387">
        <f t="shared" si="4"/>
        <v>8458.8691200000012</v>
      </c>
      <c r="BG32" s="387">
        <f t="shared" si="5"/>
        <v>510.79100800000003</v>
      </c>
      <c r="BH32" s="387">
        <f t="shared" si="6"/>
        <v>0</v>
      </c>
      <c r="BI32" s="387">
        <f t="shared" si="7"/>
        <v>392.125968</v>
      </c>
      <c r="BJ32" s="387">
        <f t="shared" si="8"/>
        <v>70.844800000000006</v>
      </c>
      <c r="BK32" s="387">
        <f t="shared" si="9"/>
        <v>0</v>
      </c>
      <c r="BL32" s="387">
        <f t="shared" si="32"/>
        <v>14852.258096000003</v>
      </c>
      <c r="BM32" s="387">
        <f t="shared" si="33"/>
        <v>0</v>
      </c>
      <c r="BN32" s="387">
        <f t="shared" si="10"/>
        <v>13750</v>
      </c>
      <c r="BO32" s="387">
        <f t="shared" si="11"/>
        <v>0</v>
      </c>
      <c r="BP32" s="387">
        <f t="shared" si="12"/>
        <v>4392.3775999999998</v>
      </c>
      <c r="BQ32" s="387">
        <f t="shared" si="13"/>
        <v>1027.2496000000001</v>
      </c>
      <c r="BR32" s="387">
        <f t="shared" si="14"/>
        <v>7920.4486400000005</v>
      </c>
      <c r="BS32" s="387">
        <f t="shared" si="15"/>
        <v>510.79100800000003</v>
      </c>
      <c r="BT32" s="387">
        <f t="shared" si="16"/>
        <v>0</v>
      </c>
      <c r="BU32" s="387">
        <f t="shared" si="17"/>
        <v>392.125968</v>
      </c>
      <c r="BV32" s="387">
        <f t="shared" si="18"/>
        <v>92.098240000000004</v>
      </c>
      <c r="BW32" s="387">
        <f t="shared" si="19"/>
        <v>0</v>
      </c>
      <c r="BX32" s="387">
        <f t="shared" si="34"/>
        <v>14335.091056000001</v>
      </c>
      <c r="BY32" s="387">
        <f t="shared" si="35"/>
        <v>0</v>
      </c>
      <c r="BZ32" s="387">
        <f t="shared" si="36"/>
        <v>1250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-538.42048000000068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21.253439999999994</v>
      </c>
      <c r="CI32" s="387">
        <f t="shared" si="26"/>
        <v>0</v>
      </c>
      <c r="CJ32" s="387">
        <f t="shared" si="39"/>
        <v>-517.16704000000072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0229-00</v>
      </c>
    </row>
    <row r="33" spans="1:92" ht="15.75" thickBot="1" x14ac:dyDescent="0.3">
      <c r="A33" s="377" t="s">
        <v>162</v>
      </c>
      <c r="B33" s="377" t="s">
        <v>163</v>
      </c>
      <c r="C33" s="377" t="s">
        <v>349</v>
      </c>
      <c r="D33" s="377" t="s">
        <v>350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186</v>
      </c>
      <c r="K33" s="377" t="s">
        <v>351</v>
      </c>
      <c r="L33" s="377" t="s">
        <v>179</v>
      </c>
      <c r="M33" s="377" t="s">
        <v>172</v>
      </c>
      <c r="N33" s="377" t="s">
        <v>173</v>
      </c>
      <c r="O33" s="380">
        <v>1</v>
      </c>
      <c r="P33" s="385">
        <v>1</v>
      </c>
      <c r="Q33" s="385">
        <v>1</v>
      </c>
      <c r="R33" s="381">
        <v>80</v>
      </c>
      <c r="S33" s="385">
        <v>1</v>
      </c>
      <c r="T33" s="381">
        <v>30283.33</v>
      </c>
      <c r="U33" s="381">
        <v>0</v>
      </c>
      <c r="V33" s="381">
        <v>17705.11</v>
      </c>
      <c r="W33" s="381">
        <v>35713.599999999999</v>
      </c>
      <c r="X33" s="381">
        <v>19987.330000000002</v>
      </c>
      <c r="Y33" s="381">
        <v>35713.599999999999</v>
      </c>
      <c r="Z33" s="381">
        <v>20976.62</v>
      </c>
      <c r="AA33" s="377" t="s">
        <v>352</v>
      </c>
      <c r="AB33" s="377" t="s">
        <v>353</v>
      </c>
      <c r="AC33" s="377" t="s">
        <v>354</v>
      </c>
      <c r="AD33" s="377" t="s">
        <v>171</v>
      </c>
      <c r="AE33" s="377" t="s">
        <v>351</v>
      </c>
      <c r="AF33" s="377" t="s">
        <v>339</v>
      </c>
      <c r="AG33" s="377" t="s">
        <v>179</v>
      </c>
      <c r="AH33" s="382">
        <v>17.170000000000002</v>
      </c>
      <c r="AI33" s="382">
        <v>2738.4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5">
        <v>1</v>
      </c>
      <c r="AQ33" s="385">
        <v>1</v>
      </c>
      <c r="AR33" s="383" t="s">
        <v>184</v>
      </c>
      <c r="AS33" s="387">
        <f t="shared" si="27"/>
        <v>1</v>
      </c>
      <c r="AT33">
        <f t="shared" si="28"/>
        <v>1</v>
      </c>
      <c r="AU33" s="387">
        <f>IF(AT33=0,"",IF(AND(AT33=1,M33="F",SUMIF(C2:C76,C33,AS2:AS76)&lt;=1),SUMIF(C2:C76,C33,AS2:AS76),IF(AND(AT33=1,M33="F",SUMIF(C2:C76,C33,AS2:AS76)&gt;1),1,"")))</f>
        <v>1</v>
      </c>
      <c r="AV33" s="387" t="str">
        <f>IF(AT33=0,"",IF(AND(AT33=3,M33="F",SUMIF(C2:C76,C33,AS2:AS76)&lt;=1),SUMIF(C2:C76,C33,AS2:AS76),IF(AND(AT33=3,M33="F",SUMIF(C2:C76,C33,AS2:AS76)&gt;1),1,"")))</f>
        <v/>
      </c>
      <c r="AW33" s="387">
        <f>SUMIF(C2:C76,C33,O2:O76)</f>
        <v>1</v>
      </c>
      <c r="AX33" s="387">
        <f>IF(AND(M33="F",AS33&lt;&gt;0),SUMIF(C2:C76,C33,W2:W76),0)</f>
        <v>35713.599999999999</v>
      </c>
      <c r="AY33" s="387">
        <f t="shared" si="29"/>
        <v>35713.599999999999</v>
      </c>
      <c r="AZ33" s="387" t="str">
        <f t="shared" si="30"/>
        <v/>
      </c>
      <c r="BA33" s="387">
        <f t="shared" si="31"/>
        <v>0</v>
      </c>
      <c r="BB33" s="387">
        <f t="shared" si="0"/>
        <v>12500</v>
      </c>
      <c r="BC33" s="387">
        <f t="shared" si="1"/>
        <v>0</v>
      </c>
      <c r="BD33" s="387">
        <f t="shared" si="2"/>
        <v>2214.2431999999999</v>
      </c>
      <c r="BE33" s="387">
        <f t="shared" si="3"/>
        <v>517.84720000000004</v>
      </c>
      <c r="BF33" s="387">
        <f t="shared" si="4"/>
        <v>4264.2038400000001</v>
      </c>
      <c r="BG33" s="387">
        <f t="shared" si="5"/>
        <v>257.49505599999998</v>
      </c>
      <c r="BH33" s="387">
        <f t="shared" si="6"/>
        <v>0</v>
      </c>
      <c r="BI33" s="387">
        <f t="shared" si="7"/>
        <v>197.67477599999998</v>
      </c>
      <c r="BJ33" s="387">
        <f t="shared" si="8"/>
        <v>35.7136</v>
      </c>
      <c r="BK33" s="387">
        <f t="shared" si="9"/>
        <v>0</v>
      </c>
      <c r="BL33" s="387">
        <f t="shared" si="32"/>
        <v>7487.1776719999998</v>
      </c>
      <c r="BM33" s="387">
        <f t="shared" si="33"/>
        <v>0</v>
      </c>
      <c r="BN33" s="387">
        <f t="shared" si="10"/>
        <v>13750</v>
      </c>
      <c r="BO33" s="387">
        <f t="shared" si="11"/>
        <v>0</v>
      </c>
      <c r="BP33" s="387">
        <f t="shared" si="12"/>
        <v>2214.2431999999999</v>
      </c>
      <c r="BQ33" s="387">
        <f t="shared" si="13"/>
        <v>517.84720000000004</v>
      </c>
      <c r="BR33" s="387">
        <f t="shared" si="14"/>
        <v>3992.7804799999999</v>
      </c>
      <c r="BS33" s="387">
        <f t="shared" si="15"/>
        <v>257.49505599999998</v>
      </c>
      <c r="BT33" s="387">
        <f t="shared" si="16"/>
        <v>0</v>
      </c>
      <c r="BU33" s="387">
        <f t="shared" si="17"/>
        <v>197.67477599999998</v>
      </c>
      <c r="BV33" s="387">
        <f t="shared" si="18"/>
        <v>46.427679999999995</v>
      </c>
      <c r="BW33" s="387">
        <f t="shared" si="19"/>
        <v>0</v>
      </c>
      <c r="BX33" s="387">
        <f t="shared" si="34"/>
        <v>7226.4683919999998</v>
      </c>
      <c r="BY33" s="387">
        <f t="shared" si="35"/>
        <v>0</v>
      </c>
      <c r="BZ33" s="387">
        <f t="shared" si="36"/>
        <v>1250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-271.42336000000034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10.714079999999997</v>
      </c>
      <c r="CI33" s="387">
        <f t="shared" si="26"/>
        <v>0</v>
      </c>
      <c r="CJ33" s="387">
        <f t="shared" si="39"/>
        <v>-260.70928000000032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0229-00</v>
      </c>
    </row>
    <row r="34" spans="1:92" ht="15.75" thickBot="1" x14ac:dyDescent="0.3">
      <c r="A34" s="377" t="s">
        <v>162</v>
      </c>
      <c r="B34" s="377" t="s">
        <v>163</v>
      </c>
      <c r="C34" s="377" t="s">
        <v>355</v>
      </c>
      <c r="D34" s="377" t="s">
        <v>165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170</v>
      </c>
      <c r="L34" s="377" t="s">
        <v>171</v>
      </c>
      <c r="M34" s="377" t="s">
        <v>172</v>
      </c>
      <c r="N34" s="377" t="s">
        <v>173</v>
      </c>
      <c r="O34" s="380">
        <v>1</v>
      </c>
      <c r="P34" s="385">
        <v>1</v>
      </c>
      <c r="Q34" s="385">
        <v>1</v>
      </c>
      <c r="R34" s="381">
        <v>80</v>
      </c>
      <c r="S34" s="385">
        <v>1</v>
      </c>
      <c r="T34" s="381">
        <v>76713.66</v>
      </c>
      <c r="U34" s="381">
        <v>0</v>
      </c>
      <c r="V34" s="381">
        <v>27613.16</v>
      </c>
      <c r="W34" s="381">
        <v>80745.600000000006</v>
      </c>
      <c r="X34" s="381">
        <v>29428.26</v>
      </c>
      <c r="Y34" s="381">
        <v>80745.600000000006</v>
      </c>
      <c r="Z34" s="381">
        <v>30088.82</v>
      </c>
      <c r="AA34" s="377" t="s">
        <v>356</v>
      </c>
      <c r="AB34" s="377" t="s">
        <v>357</v>
      </c>
      <c r="AC34" s="377" t="s">
        <v>358</v>
      </c>
      <c r="AD34" s="377" t="s">
        <v>359</v>
      </c>
      <c r="AE34" s="377" t="s">
        <v>170</v>
      </c>
      <c r="AF34" s="377" t="s">
        <v>178</v>
      </c>
      <c r="AG34" s="377" t="s">
        <v>179</v>
      </c>
      <c r="AH34" s="382">
        <v>38.82</v>
      </c>
      <c r="AI34" s="382">
        <v>22947.7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5">
        <v>1</v>
      </c>
      <c r="AQ34" s="385">
        <v>1</v>
      </c>
      <c r="AR34" s="383" t="s">
        <v>184</v>
      </c>
      <c r="AS34" s="387">
        <f t="shared" si="27"/>
        <v>1</v>
      </c>
      <c r="AT34">
        <f t="shared" si="28"/>
        <v>1</v>
      </c>
      <c r="AU34" s="387">
        <f>IF(AT34=0,"",IF(AND(AT34=1,M34="F",SUMIF(C2:C76,C34,AS2:AS76)&lt;=1),SUMIF(C2:C76,C34,AS2:AS76),IF(AND(AT34=1,M34="F",SUMIF(C2:C76,C34,AS2:AS76)&gt;1),1,"")))</f>
        <v>1</v>
      </c>
      <c r="AV34" s="387" t="str">
        <f>IF(AT34=0,"",IF(AND(AT34=3,M34="F",SUMIF(C2:C76,C34,AS2:AS76)&lt;=1),SUMIF(C2:C76,C34,AS2:AS76),IF(AND(AT34=3,M34="F",SUMIF(C2:C76,C34,AS2:AS76)&gt;1),1,"")))</f>
        <v/>
      </c>
      <c r="AW34" s="387">
        <f>SUMIF(C2:C76,C34,O2:O76)</f>
        <v>1</v>
      </c>
      <c r="AX34" s="387">
        <f>IF(AND(M34="F",AS34&lt;&gt;0),SUMIF(C2:C76,C34,W2:W76),0)</f>
        <v>80745.600000000006</v>
      </c>
      <c r="AY34" s="387">
        <f t="shared" si="29"/>
        <v>80745.600000000006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12500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5006.2272000000003</v>
      </c>
      <c r="BE34" s="387">
        <f t="shared" ref="BE34:BE65" si="47">IF(AT34&lt;&gt;0,SSHI*W34,0)</f>
        <v>1170.8112000000001</v>
      </c>
      <c r="BF34" s="387">
        <f t="shared" ref="BF34:BF65" si="48">IF(AND(AT34&lt;&gt;0,AN34&lt;&gt;"NE"),VLOOKUP(AN34,Retirement_Rates,3,FALSE)*W34,0)</f>
        <v>9641.0246400000015</v>
      </c>
      <c r="BG34" s="387">
        <f t="shared" ref="BG34:BG65" si="49">IF(AND(AT34&lt;&gt;0,AJ34&lt;&gt;"PF"),Life*W34,0)</f>
        <v>582.17577600000004</v>
      </c>
      <c r="BH34" s="387">
        <f t="shared" ref="BH34:BH65" si="50">IF(AND(AT34&lt;&gt;0,AM34="Y"),UI*W34,0)</f>
        <v>0</v>
      </c>
      <c r="BI34" s="387">
        <f t="shared" ref="BI34:BI65" si="51">IF(AND(AT34&lt;&gt;0,N34&lt;&gt;"NR"),DHR*W34,0)</f>
        <v>446.92689600000006</v>
      </c>
      <c r="BJ34" s="387">
        <f t="shared" ref="BJ34:BJ65" si="52">IF(AT34&lt;&gt;0,WC*W34,0)</f>
        <v>80.74560000000001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16927.911312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13750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5006.2272000000003</v>
      </c>
      <c r="BQ34" s="387">
        <f t="shared" ref="BQ34:BQ65" si="57">IF(AT34&lt;&gt;0,SSHIBY*W34,0)</f>
        <v>1170.8112000000001</v>
      </c>
      <c r="BR34" s="387">
        <f t="shared" ref="BR34:BR65" si="58">IF(AND(AT34&lt;&gt;0,AN34&lt;&gt;"NE"),VLOOKUP(AN34,Retirement_Rates,4,FALSE)*W34,0)</f>
        <v>9027.35808</v>
      </c>
      <c r="BS34" s="387">
        <f t="shared" ref="BS34:BS65" si="59">IF(AND(AT34&lt;&gt;0,AJ34&lt;&gt;"PF"),LifeBY*W34,0)</f>
        <v>582.17577600000004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446.92689600000006</v>
      </c>
      <c r="BV34" s="387">
        <f t="shared" ref="BV34:BV65" si="62">IF(AT34&lt;&gt;0,WCBY*W34,0)</f>
        <v>104.96928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16338.468432</v>
      </c>
      <c r="BY34" s="387">
        <f t="shared" si="35"/>
        <v>0</v>
      </c>
      <c r="BZ34" s="387">
        <f t="shared" si="36"/>
        <v>1250</v>
      </c>
      <c r="CA34" s="387">
        <f t="shared" si="37"/>
        <v>0</v>
      </c>
      <c r="CB34" s="387">
        <f t="shared" si="38"/>
        <v>0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-613.6665600000008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0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24.223679999999995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-589.44288000000086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0229-00</v>
      </c>
    </row>
    <row r="35" spans="1:92" ht="15.75" thickBot="1" x14ac:dyDescent="0.3">
      <c r="A35" s="377" t="s">
        <v>162</v>
      </c>
      <c r="B35" s="377" t="s">
        <v>163</v>
      </c>
      <c r="C35" s="377" t="s">
        <v>360</v>
      </c>
      <c r="D35" s="377" t="s">
        <v>361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362</v>
      </c>
      <c r="K35" s="377" t="s">
        <v>363</v>
      </c>
      <c r="L35" s="377" t="s">
        <v>199</v>
      </c>
      <c r="M35" s="377" t="s">
        <v>172</v>
      </c>
      <c r="N35" s="377" t="s">
        <v>173</v>
      </c>
      <c r="O35" s="380">
        <v>1</v>
      </c>
      <c r="P35" s="385">
        <v>1</v>
      </c>
      <c r="Q35" s="385">
        <v>1</v>
      </c>
      <c r="R35" s="381">
        <v>80</v>
      </c>
      <c r="S35" s="385">
        <v>1</v>
      </c>
      <c r="T35" s="381">
        <v>108352</v>
      </c>
      <c r="U35" s="381">
        <v>0</v>
      </c>
      <c r="V35" s="381">
        <v>34610.22</v>
      </c>
      <c r="W35" s="381">
        <v>111072</v>
      </c>
      <c r="X35" s="381">
        <v>35786.199999999997</v>
      </c>
      <c r="Y35" s="381">
        <v>111072</v>
      </c>
      <c r="Z35" s="381">
        <v>36225.339999999997</v>
      </c>
      <c r="AA35" s="377" t="s">
        <v>364</v>
      </c>
      <c r="AB35" s="377" t="s">
        <v>365</v>
      </c>
      <c r="AC35" s="377" t="s">
        <v>236</v>
      </c>
      <c r="AD35" s="377" t="s">
        <v>237</v>
      </c>
      <c r="AE35" s="377" t="s">
        <v>363</v>
      </c>
      <c r="AF35" s="377" t="s">
        <v>204</v>
      </c>
      <c r="AG35" s="377" t="s">
        <v>179</v>
      </c>
      <c r="AH35" s="382">
        <v>53.4</v>
      </c>
      <c r="AI35" s="382">
        <v>68190.399999999994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5">
        <v>1</v>
      </c>
      <c r="AQ35" s="385">
        <v>1</v>
      </c>
      <c r="AR35" s="383" t="s">
        <v>184</v>
      </c>
      <c r="AS35" s="387">
        <f t="shared" si="27"/>
        <v>1</v>
      </c>
      <c r="AT35">
        <f t="shared" si="28"/>
        <v>1</v>
      </c>
      <c r="AU35" s="387">
        <f>IF(AT35=0,"",IF(AND(AT35=1,M35="F",SUMIF(C2:C76,C35,AS2:AS76)&lt;=1),SUMIF(C2:C76,C35,AS2:AS76),IF(AND(AT35=1,M35="F",SUMIF(C2:C76,C35,AS2:AS76)&gt;1),1,"")))</f>
        <v>1</v>
      </c>
      <c r="AV35" s="387" t="str">
        <f>IF(AT35=0,"",IF(AND(AT35=3,M35="F",SUMIF(C2:C76,C35,AS2:AS76)&lt;=1),SUMIF(C2:C76,C35,AS2:AS76),IF(AND(AT35=3,M35="F",SUMIF(C2:C76,C35,AS2:AS76)&gt;1),1,"")))</f>
        <v/>
      </c>
      <c r="AW35" s="387">
        <f>SUMIF(C2:C76,C35,O2:O76)</f>
        <v>1</v>
      </c>
      <c r="AX35" s="387">
        <f>IF(AND(M35="F",AS35&lt;&gt;0),SUMIF(C2:C76,C35,W2:W76),0)</f>
        <v>111072</v>
      </c>
      <c r="AY35" s="387">
        <f t="shared" si="29"/>
        <v>111072</v>
      </c>
      <c r="AZ35" s="387" t="str">
        <f t="shared" si="30"/>
        <v/>
      </c>
      <c r="BA35" s="387">
        <f t="shared" si="31"/>
        <v>0</v>
      </c>
      <c r="BB35" s="387">
        <f t="shared" si="44"/>
        <v>12500</v>
      </c>
      <c r="BC35" s="387">
        <f t="shared" si="45"/>
        <v>0</v>
      </c>
      <c r="BD35" s="387">
        <f t="shared" si="46"/>
        <v>6886.4639999999999</v>
      </c>
      <c r="BE35" s="387">
        <f t="shared" si="47"/>
        <v>1610.5440000000001</v>
      </c>
      <c r="BF35" s="387">
        <f t="shared" si="48"/>
        <v>13261.996800000001</v>
      </c>
      <c r="BG35" s="387">
        <f t="shared" si="49"/>
        <v>800.82911999999999</v>
      </c>
      <c r="BH35" s="387">
        <f t="shared" si="50"/>
        <v>0</v>
      </c>
      <c r="BI35" s="387">
        <f t="shared" si="51"/>
        <v>614.78351999999995</v>
      </c>
      <c r="BJ35" s="387">
        <f t="shared" si="52"/>
        <v>111.072</v>
      </c>
      <c r="BK35" s="387">
        <f t="shared" si="53"/>
        <v>0</v>
      </c>
      <c r="BL35" s="387">
        <f t="shared" si="32"/>
        <v>23285.689440000002</v>
      </c>
      <c r="BM35" s="387">
        <f t="shared" si="33"/>
        <v>0</v>
      </c>
      <c r="BN35" s="387">
        <f t="shared" si="54"/>
        <v>13750</v>
      </c>
      <c r="BO35" s="387">
        <f t="shared" si="55"/>
        <v>0</v>
      </c>
      <c r="BP35" s="387">
        <f t="shared" si="56"/>
        <v>6886.4639999999999</v>
      </c>
      <c r="BQ35" s="387">
        <f t="shared" si="57"/>
        <v>1610.5440000000001</v>
      </c>
      <c r="BR35" s="387">
        <f t="shared" si="58"/>
        <v>12417.8496</v>
      </c>
      <c r="BS35" s="387">
        <f t="shared" si="59"/>
        <v>800.82911999999999</v>
      </c>
      <c r="BT35" s="387">
        <f t="shared" si="60"/>
        <v>0</v>
      </c>
      <c r="BU35" s="387">
        <f t="shared" si="61"/>
        <v>614.78351999999995</v>
      </c>
      <c r="BV35" s="387">
        <f t="shared" si="62"/>
        <v>144.39359999999999</v>
      </c>
      <c r="BW35" s="387">
        <f t="shared" si="63"/>
        <v>0</v>
      </c>
      <c r="BX35" s="387">
        <f t="shared" si="34"/>
        <v>22474.863839999998</v>
      </c>
      <c r="BY35" s="387">
        <f t="shared" si="35"/>
        <v>0</v>
      </c>
      <c r="BZ35" s="387">
        <f t="shared" si="36"/>
        <v>1250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-844.14720000000102</v>
      </c>
      <c r="CE35" s="387">
        <f t="shared" si="66"/>
        <v>0</v>
      </c>
      <c r="CF35" s="387">
        <f t="shared" si="67"/>
        <v>0</v>
      </c>
      <c r="CG35" s="387">
        <f t="shared" si="68"/>
        <v>0</v>
      </c>
      <c r="CH35" s="387">
        <f t="shared" si="69"/>
        <v>33.321599999999989</v>
      </c>
      <c r="CI35" s="387">
        <f t="shared" si="70"/>
        <v>0</v>
      </c>
      <c r="CJ35" s="387">
        <f t="shared" si="39"/>
        <v>-810.82560000000103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0229-00</v>
      </c>
    </row>
    <row r="36" spans="1:92" ht="15.75" thickBot="1" x14ac:dyDescent="0.3">
      <c r="A36" s="377" t="s">
        <v>162</v>
      </c>
      <c r="B36" s="377" t="s">
        <v>163</v>
      </c>
      <c r="C36" s="377" t="s">
        <v>366</v>
      </c>
      <c r="D36" s="377" t="s">
        <v>165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170</v>
      </c>
      <c r="L36" s="377" t="s">
        <v>171</v>
      </c>
      <c r="M36" s="377" t="s">
        <v>172</v>
      </c>
      <c r="N36" s="377" t="s">
        <v>173</v>
      </c>
      <c r="O36" s="380">
        <v>1</v>
      </c>
      <c r="P36" s="385">
        <v>1</v>
      </c>
      <c r="Q36" s="385">
        <v>1</v>
      </c>
      <c r="R36" s="381">
        <v>80</v>
      </c>
      <c r="S36" s="385">
        <v>1</v>
      </c>
      <c r="T36" s="381">
        <v>63946.96</v>
      </c>
      <c r="U36" s="381">
        <v>0</v>
      </c>
      <c r="V36" s="381">
        <v>25483.72</v>
      </c>
      <c r="W36" s="381">
        <v>70844.800000000003</v>
      </c>
      <c r="X36" s="381">
        <v>27352.55</v>
      </c>
      <c r="Y36" s="381">
        <v>70844.800000000003</v>
      </c>
      <c r="Z36" s="381">
        <v>28085.4</v>
      </c>
      <c r="AA36" s="377" t="s">
        <v>367</v>
      </c>
      <c r="AB36" s="377" t="s">
        <v>368</v>
      </c>
      <c r="AC36" s="377" t="s">
        <v>369</v>
      </c>
      <c r="AD36" s="377" t="s">
        <v>171</v>
      </c>
      <c r="AE36" s="377" t="s">
        <v>211</v>
      </c>
      <c r="AF36" s="377" t="s">
        <v>212</v>
      </c>
      <c r="AG36" s="377" t="s">
        <v>179</v>
      </c>
      <c r="AH36" s="382">
        <v>34.06</v>
      </c>
      <c r="AI36" s="380">
        <v>2664</v>
      </c>
      <c r="AJ36" s="377" t="s">
        <v>180</v>
      </c>
      <c r="AK36" s="377" t="s">
        <v>181</v>
      </c>
      <c r="AL36" s="377" t="s">
        <v>182</v>
      </c>
      <c r="AM36" s="377" t="s">
        <v>183</v>
      </c>
      <c r="AN36" s="377" t="s">
        <v>66</v>
      </c>
      <c r="AO36" s="380">
        <v>80</v>
      </c>
      <c r="AP36" s="385">
        <v>1</v>
      </c>
      <c r="AQ36" s="385">
        <v>1</v>
      </c>
      <c r="AR36" s="383" t="s">
        <v>184</v>
      </c>
      <c r="AS36" s="387">
        <f t="shared" si="27"/>
        <v>1</v>
      </c>
      <c r="AT36">
        <f t="shared" si="28"/>
        <v>1</v>
      </c>
      <c r="AU36" s="387">
        <f>IF(AT36=0,"",IF(AND(AT36=1,M36="F",SUMIF(C2:C76,C36,AS2:AS76)&lt;=1),SUMIF(C2:C76,C36,AS2:AS76),IF(AND(AT36=1,M36="F",SUMIF(C2:C76,C36,AS2:AS76)&gt;1),1,"")))</f>
        <v>1</v>
      </c>
      <c r="AV36" s="387" t="str">
        <f>IF(AT36=0,"",IF(AND(AT36=3,M36="F",SUMIF(C2:C76,C36,AS2:AS76)&lt;=1),SUMIF(C2:C76,C36,AS2:AS76),IF(AND(AT36=3,M36="F",SUMIF(C2:C76,C36,AS2:AS76)&gt;1),1,"")))</f>
        <v/>
      </c>
      <c r="AW36" s="387">
        <f>SUMIF(C2:C76,C36,O2:O76)</f>
        <v>1</v>
      </c>
      <c r="AX36" s="387">
        <f>IF(AND(M36="F",AS36&lt;&gt;0),SUMIF(C2:C76,C36,W2:W76),0)</f>
        <v>70844.800000000003</v>
      </c>
      <c r="AY36" s="387">
        <f t="shared" si="29"/>
        <v>70844.800000000003</v>
      </c>
      <c r="AZ36" s="387" t="str">
        <f t="shared" si="30"/>
        <v/>
      </c>
      <c r="BA36" s="387">
        <f t="shared" si="31"/>
        <v>0</v>
      </c>
      <c r="BB36" s="387">
        <f t="shared" si="44"/>
        <v>12500</v>
      </c>
      <c r="BC36" s="387">
        <f t="shared" si="45"/>
        <v>0</v>
      </c>
      <c r="BD36" s="387">
        <f t="shared" si="46"/>
        <v>4392.3775999999998</v>
      </c>
      <c r="BE36" s="387">
        <f t="shared" si="47"/>
        <v>1027.2496000000001</v>
      </c>
      <c r="BF36" s="387">
        <f t="shared" si="48"/>
        <v>8458.8691200000012</v>
      </c>
      <c r="BG36" s="387">
        <f t="shared" si="49"/>
        <v>510.79100800000003</v>
      </c>
      <c r="BH36" s="387">
        <f t="shared" si="50"/>
        <v>0</v>
      </c>
      <c r="BI36" s="387">
        <f t="shared" si="51"/>
        <v>392.125968</v>
      </c>
      <c r="BJ36" s="387">
        <f t="shared" si="52"/>
        <v>70.844800000000006</v>
      </c>
      <c r="BK36" s="387">
        <f t="shared" si="53"/>
        <v>0</v>
      </c>
      <c r="BL36" s="387">
        <f t="shared" si="32"/>
        <v>14852.258096000003</v>
      </c>
      <c r="BM36" s="387">
        <f t="shared" si="33"/>
        <v>0</v>
      </c>
      <c r="BN36" s="387">
        <f t="shared" si="54"/>
        <v>13750</v>
      </c>
      <c r="BO36" s="387">
        <f t="shared" si="55"/>
        <v>0</v>
      </c>
      <c r="BP36" s="387">
        <f t="shared" si="56"/>
        <v>4392.3775999999998</v>
      </c>
      <c r="BQ36" s="387">
        <f t="shared" si="57"/>
        <v>1027.2496000000001</v>
      </c>
      <c r="BR36" s="387">
        <f t="shared" si="58"/>
        <v>7920.4486400000005</v>
      </c>
      <c r="BS36" s="387">
        <f t="shared" si="59"/>
        <v>510.79100800000003</v>
      </c>
      <c r="BT36" s="387">
        <f t="shared" si="60"/>
        <v>0</v>
      </c>
      <c r="BU36" s="387">
        <f t="shared" si="61"/>
        <v>392.125968</v>
      </c>
      <c r="BV36" s="387">
        <f t="shared" si="62"/>
        <v>92.098240000000004</v>
      </c>
      <c r="BW36" s="387">
        <f t="shared" si="63"/>
        <v>0</v>
      </c>
      <c r="BX36" s="387">
        <f t="shared" si="34"/>
        <v>14335.091056000001</v>
      </c>
      <c r="BY36" s="387">
        <f t="shared" si="35"/>
        <v>0</v>
      </c>
      <c r="BZ36" s="387">
        <f t="shared" si="36"/>
        <v>1250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-538.42048000000068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21.253439999999994</v>
      </c>
      <c r="CI36" s="387">
        <f t="shared" si="70"/>
        <v>0</v>
      </c>
      <c r="CJ36" s="387">
        <f t="shared" si="39"/>
        <v>-517.16704000000072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0229-00</v>
      </c>
    </row>
    <row r="37" spans="1:92" ht="15.75" thickBot="1" x14ac:dyDescent="0.3">
      <c r="A37" s="377" t="s">
        <v>162</v>
      </c>
      <c r="B37" s="377" t="s">
        <v>163</v>
      </c>
      <c r="C37" s="377" t="s">
        <v>370</v>
      </c>
      <c r="D37" s="377" t="s">
        <v>334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276</v>
      </c>
      <c r="K37" s="377" t="s">
        <v>335</v>
      </c>
      <c r="L37" s="377" t="s">
        <v>179</v>
      </c>
      <c r="M37" s="377" t="s">
        <v>172</v>
      </c>
      <c r="N37" s="377" t="s">
        <v>173</v>
      </c>
      <c r="O37" s="380">
        <v>1</v>
      </c>
      <c r="P37" s="385">
        <v>1</v>
      </c>
      <c r="Q37" s="385">
        <v>1</v>
      </c>
      <c r="R37" s="381">
        <v>80</v>
      </c>
      <c r="S37" s="385">
        <v>1</v>
      </c>
      <c r="T37" s="381">
        <v>47364.82</v>
      </c>
      <c r="U37" s="381">
        <v>0</v>
      </c>
      <c r="V37" s="381">
        <v>21823.66</v>
      </c>
      <c r="W37" s="381">
        <v>48588.800000000003</v>
      </c>
      <c r="X37" s="381">
        <v>22686.6</v>
      </c>
      <c r="Y37" s="381">
        <v>48588.800000000003</v>
      </c>
      <c r="Z37" s="381">
        <v>23581.9</v>
      </c>
      <c r="AA37" s="377" t="s">
        <v>371</v>
      </c>
      <c r="AB37" s="377" t="s">
        <v>372</v>
      </c>
      <c r="AC37" s="377" t="s">
        <v>373</v>
      </c>
      <c r="AD37" s="377" t="s">
        <v>284</v>
      </c>
      <c r="AE37" s="377" t="s">
        <v>335</v>
      </c>
      <c r="AF37" s="377" t="s">
        <v>339</v>
      </c>
      <c r="AG37" s="377" t="s">
        <v>179</v>
      </c>
      <c r="AH37" s="382">
        <v>23.36</v>
      </c>
      <c r="AI37" s="380">
        <v>19693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5">
        <v>1</v>
      </c>
      <c r="AQ37" s="385">
        <v>1</v>
      </c>
      <c r="AR37" s="383" t="s">
        <v>184</v>
      </c>
      <c r="AS37" s="387">
        <f t="shared" si="27"/>
        <v>1</v>
      </c>
      <c r="AT37">
        <f t="shared" si="28"/>
        <v>1</v>
      </c>
      <c r="AU37" s="387">
        <f>IF(AT37=0,"",IF(AND(AT37=1,M37="F",SUMIF(C2:C76,C37,AS2:AS76)&lt;=1),SUMIF(C2:C76,C37,AS2:AS76),IF(AND(AT37=1,M37="F",SUMIF(C2:C76,C37,AS2:AS76)&gt;1),1,"")))</f>
        <v>1</v>
      </c>
      <c r="AV37" s="387" t="str">
        <f>IF(AT37=0,"",IF(AND(AT37=3,M37="F",SUMIF(C2:C76,C37,AS2:AS76)&lt;=1),SUMIF(C2:C76,C37,AS2:AS76),IF(AND(AT37=3,M37="F",SUMIF(C2:C76,C37,AS2:AS76)&gt;1),1,"")))</f>
        <v/>
      </c>
      <c r="AW37" s="387">
        <f>SUMIF(C2:C76,C37,O2:O76)</f>
        <v>1</v>
      </c>
      <c r="AX37" s="387">
        <f>IF(AND(M37="F",AS37&lt;&gt;0),SUMIF(C2:C76,C37,W2:W76),0)</f>
        <v>48588.800000000003</v>
      </c>
      <c r="AY37" s="387">
        <f t="shared" si="29"/>
        <v>48588.800000000003</v>
      </c>
      <c r="AZ37" s="387" t="str">
        <f t="shared" si="30"/>
        <v/>
      </c>
      <c r="BA37" s="387">
        <f t="shared" si="31"/>
        <v>0</v>
      </c>
      <c r="BB37" s="387">
        <f t="shared" si="44"/>
        <v>12500</v>
      </c>
      <c r="BC37" s="387">
        <f t="shared" si="45"/>
        <v>0</v>
      </c>
      <c r="BD37" s="387">
        <f t="shared" si="46"/>
        <v>3012.5056</v>
      </c>
      <c r="BE37" s="387">
        <f t="shared" si="47"/>
        <v>704.53760000000011</v>
      </c>
      <c r="BF37" s="387">
        <f t="shared" si="48"/>
        <v>5801.5027200000004</v>
      </c>
      <c r="BG37" s="387">
        <f t="shared" si="49"/>
        <v>350.32524800000004</v>
      </c>
      <c r="BH37" s="387">
        <f t="shared" si="50"/>
        <v>0</v>
      </c>
      <c r="BI37" s="387">
        <f t="shared" si="51"/>
        <v>268.939008</v>
      </c>
      <c r="BJ37" s="387">
        <f t="shared" si="52"/>
        <v>48.588800000000006</v>
      </c>
      <c r="BK37" s="387">
        <f t="shared" si="53"/>
        <v>0</v>
      </c>
      <c r="BL37" s="387">
        <f t="shared" si="32"/>
        <v>10186.398975999999</v>
      </c>
      <c r="BM37" s="387">
        <f t="shared" si="33"/>
        <v>0</v>
      </c>
      <c r="BN37" s="387">
        <f t="shared" si="54"/>
        <v>13750</v>
      </c>
      <c r="BO37" s="387">
        <f t="shared" si="55"/>
        <v>0</v>
      </c>
      <c r="BP37" s="387">
        <f t="shared" si="56"/>
        <v>3012.5056</v>
      </c>
      <c r="BQ37" s="387">
        <f t="shared" si="57"/>
        <v>704.53760000000011</v>
      </c>
      <c r="BR37" s="387">
        <f t="shared" si="58"/>
        <v>5432.2278400000005</v>
      </c>
      <c r="BS37" s="387">
        <f t="shared" si="59"/>
        <v>350.32524800000004</v>
      </c>
      <c r="BT37" s="387">
        <f t="shared" si="60"/>
        <v>0</v>
      </c>
      <c r="BU37" s="387">
        <f t="shared" si="61"/>
        <v>268.939008</v>
      </c>
      <c r="BV37" s="387">
        <f t="shared" si="62"/>
        <v>63.165440000000004</v>
      </c>
      <c r="BW37" s="387">
        <f t="shared" si="63"/>
        <v>0</v>
      </c>
      <c r="BX37" s="387">
        <f t="shared" si="34"/>
        <v>9831.7007359999989</v>
      </c>
      <c r="BY37" s="387">
        <f t="shared" si="35"/>
        <v>0</v>
      </c>
      <c r="BZ37" s="387">
        <f t="shared" si="36"/>
        <v>1250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-369.27488000000051</v>
      </c>
      <c r="CE37" s="387">
        <f t="shared" si="66"/>
        <v>0</v>
      </c>
      <c r="CF37" s="387">
        <f t="shared" si="67"/>
        <v>0</v>
      </c>
      <c r="CG37" s="387">
        <f t="shared" si="68"/>
        <v>0</v>
      </c>
      <c r="CH37" s="387">
        <f t="shared" si="69"/>
        <v>14.576639999999998</v>
      </c>
      <c r="CI37" s="387">
        <f t="shared" si="70"/>
        <v>0</v>
      </c>
      <c r="CJ37" s="387">
        <f t="shared" si="39"/>
        <v>-354.69824000000051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0229-00</v>
      </c>
    </row>
    <row r="38" spans="1:92" ht="15.75" thickBot="1" x14ac:dyDescent="0.3">
      <c r="A38" s="377" t="s">
        <v>162</v>
      </c>
      <c r="B38" s="377" t="s">
        <v>163</v>
      </c>
      <c r="C38" s="377" t="s">
        <v>374</v>
      </c>
      <c r="D38" s="377" t="s">
        <v>165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170</v>
      </c>
      <c r="L38" s="377" t="s">
        <v>171</v>
      </c>
      <c r="M38" s="377" t="s">
        <v>172</v>
      </c>
      <c r="N38" s="377" t="s">
        <v>173</v>
      </c>
      <c r="O38" s="380">
        <v>1</v>
      </c>
      <c r="P38" s="385">
        <v>1</v>
      </c>
      <c r="Q38" s="385">
        <v>1</v>
      </c>
      <c r="R38" s="381">
        <v>80</v>
      </c>
      <c r="S38" s="385">
        <v>1</v>
      </c>
      <c r="T38" s="381">
        <v>66948.03</v>
      </c>
      <c r="U38" s="381">
        <v>0</v>
      </c>
      <c r="V38" s="381">
        <v>25930.74</v>
      </c>
      <c r="W38" s="381">
        <v>70844.800000000003</v>
      </c>
      <c r="X38" s="381">
        <v>27352.55</v>
      </c>
      <c r="Y38" s="381">
        <v>70844.800000000003</v>
      </c>
      <c r="Z38" s="381">
        <v>28085.4</v>
      </c>
      <c r="AA38" s="377" t="s">
        <v>375</v>
      </c>
      <c r="AB38" s="377" t="s">
        <v>376</v>
      </c>
      <c r="AC38" s="377" t="s">
        <v>377</v>
      </c>
      <c r="AD38" s="377" t="s">
        <v>218</v>
      </c>
      <c r="AE38" s="377" t="s">
        <v>211</v>
      </c>
      <c r="AF38" s="377" t="s">
        <v>212</v>
      </c>
      <c r="AG38" s="377" t="s">
        <v>179</v>
      </c>
      <c r="AH38" s="382">
        <v>34.06</v>
      </c>
      <c r="AI38" s="382">
        <v>3321.6</v>
      </c>
      <c r="AJ38" s="377" t="s">
        <v>180</v>
      </c>
      <c r="AK38" s="377" t="s">
        <v>181</v>
      </c>
      <c r="AL38" s="377" t="s">
        <v>182</v>
      </c>
      <c r="AM38" s="377" t="s">
        <v>183</v>
      </c>
      <c r="AN38" s="377" t="s">
        <v>66</v>
      </c>
      <c r="AO38" s="380">
        <v>80</v>
      </c>
      <c r="AP38" s="385">
        <v>1</v>
      </c>
      <c r="AQ38" s="385">
        <v>1</v>
      </c>
      <c r="AR38" s="383">
        <v>3</v>
      </c>
      <c r="AS38" s="387">
        <f t="shared" si="27"/>
        <v>1</v>
      </c>
      <c r="AT38">
        <f t="shared" si="28"/>
        <v>1</v>
      </c>
      <c r="AU38" s="387">
        <f>IF(AT38=0,"",IF(AND(AT38=1,M38="F",SUMIF(C2:C76,C38,AS2:AS76)&lt;=1),SUMIF(C2:C76,C38,AS2:AS76),IF(AND(AT38=1,M38="F",SUMIF(C2:C76,C38,AS2:AS76)&gt;1),1,"")))</f>
        <v>1</v>
      </c>
      <c r="AV38" s="387" t="str">
        <f>IF(AT38=0,"",IF(AND(AT38=3,M38="F",SUMIF(C2:C76,C38,AS2:AS76)&lt;=1),SUMIF(C2:C76,C38,AS2:AS76),IF(AND(AT38=3,M38="F",SUMIF(C2:C76,C38,AS2:AS76)&gt;1),1,"")))</f>
        <v/>
      </c>
      <c r="AW38" s="387">
        <f>SUMIF(C2:C76,C38,O2:O76)</f>
        <v>1</v>
      </c>
      <c r="AX38" s="387">
        <f>IF(AND(M38="F",AS38&lt;&gt;0),SUMIF(C2:C76,C38,W2:W76),0)</f>
        <v>70844.800000000003</v>
      </c>
      <c r="AY38" s="387">
        <f t="shared" si="29"/>
        <v>70844.800000000003</v>
      </c>
      <c r="AZ38" s="387" t="str">
        <f t="shared" si="30"/>
        <v/>
      </c>
      <c r="BA38" s="387">
        <f t="shared" si="31"/>
        <v>0</v>
      </c>
      <c r="BB38" s="387">
        <f t="shared" si="44"/>
        <v>12500</v>
      </c>
      <c r="BC38" s="387">
        <f t="shared" si="45"/>
        <v>0</v>
      </c>
      <c r="BD38" s="387">
        <f t="shared" si="46"/>
        <v>4392.3775999999998</v>
      </c>
      <c r="BE38" s="387">
        <f t="shared" si="47"/>
        <v>1027.2496000000001</v>
      </c>
      <c r="BF38" s="387">
        <f t="shared" si="48"/>
        <v>8458.8691200000012</v>
      </c>
      <c r="BG38" s="387">
        <f t="shared" si="49"/>
        <v>510.79100800000003</v>
      </c>
      <c r="BH38" s="387">
        <f t="shared" si="50"/>
        <v>0</v>
      </c>
      <c r="BI38" s="387">
        <f t="shared" si="51"/>
        <v>392.125968</v>
      </c>
      <c r="BJ38" s="387">
        <f t="shared" si="52"/>
        <v>70.844800000000006</v>
      </c>
      <c r="BK38" s="387">
        <f t="shared" si="53"/>
        <v>0</v>
      </c>
      <c r="BL38" s="387">
        <f t="shared" si="32"/>
        <v>14852.258096000003</v>
      </c>
      <c r="BM38" s="387">
        <f t="shared" si="33"/>
        <v>0</v>
      </c>
      <c r="BN38" s="387">
        <f t="shared" si="54"/>
        <v>13750</v>
      </c>
      <c r="BO38" s="387">
        <f t="shared" si="55"/>
        <v>0</v>
      </c>
      <c r="BP38" s="387">
        <f t="shared" si="56"/>
        <v>4392.3775999999998</v>
      </c>
      <c r="BQ38" s="387">
        <f t="shared" si="57"/>
        <v>1027.2496000000001</v>
      </c>
      <c r="BR38" s="387">
        <f t="shared" si="58"/>
        <v>7920.4486400000005</v>
      </c>
      <c r="BS38" s="387">
        <f t="shared" si="59"/>
        <v>510.79100800000003</v>
      </c>
      <c r="BT38" s="387">
        <f t="shared" si="60"/>
        <v>0</v>
      </c>
      <c r="BU38" s="387">
        <f t="shared" si="61"/>
        <v>392.125968</v>
      </c>
      <c r="BV38" s="387">
        <f t="shared" si="62"/>
        <v>92.098240000000004</v>
      </c>
      <c r="BW38" s="387">
        <f t="shared" si="63"/>
        <v>0</v>
      </c>
      <c r="BX38" s="387">
        <f t="shared" si="34"/>
        <v>14335.091056000001</v>
      </c>
      <c r="BY38" s="387">
        <f t="shared" si="35"/>
        <v>0</v>
      </c>
      <c r="BZ38" s="387">
        <f t="shared" si="36"/>
        <v>1250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-538.42048000000068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21.253439999999994</v>
      </c>
      <c r="CI38" s="387">
        <f t="shared" si="70"/>
        <v>0</v>
      </c>
      <c r="CJ38" s="387">
        <f t="shared" si="39"/>
        <v>-517.16704000000072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0229-00</v>
      </c>
    </row>
    <row r="39" spans="1:92" ht="15.75" thickBot="1" x14ac:dyDescent="0.3">
      <c r="A39" s="377" t="s">
        <v>162</v>
      </c>
      <c r="B39" s="377" t="s">
        <v>163</v>
      </c>
      <c r="C39" s="377" t="s">
        <v>378</v>
      </c>
      <c r="D39" s="377" t="s">
        <v>379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276</v>
      </c>
      <c r="K39" s="377" t="s">
        <v>380</v>
      </c>
      <c r="L39" s="377" t="s">
        <v>381</v>
      </c>
      <c r="M39" s="377" t="s">
        <v>172</v>
      </c>
      <c r="N39" s="377" t="s">
        <v>173</v>
      </c>
      <c r="O39" s="380">
        <v>1</v>
      </c>
      <c r="P39" s="385">
        <v>1</v>
      </c>
      <c r="Q39" s="385">
        <v>1</v>
      </c>
      <c r="R39" s="381">
        <v>80</v>
      </c>
      <c r="S39" s="385">
        <v>1</v>
      </c>
      <c r="T39" s="381">
        <v>121296</v>
      </c>
      <c r="U39" s="381">
        <v>0</v>
      </c>
      <c r="V39" s="381">
        <v>37661.949999999997</v>
      </c>
      <c r="W39" s="381">
        <v>131664</v>
      </c>
      <c r="X39" s="381">
        <v>40103.32</v>
      </c>
      <c r="Y39" s="381">
        <v>131664</v>
      </c>
      <c r="Z39" s="381">
        <v>40392.160000000003</v>
      </c>
      <c r="AA39" s="377" t="s">
        <v>382</v>
      </c>
      <c r="AB39" s="377" t="s">
        <v>383</v>
      </c>
      <c r="AC39" s="377" t="s">
        <v>384</v>
      </c>
      <c r="AD39" s="377" t="s">
        <v>218</v>
      </c>
      <c r="AE39" s="377" t="s">
        <v>380</v>
      </c>
      <c r="AF39" s="377" t="s">
        <v>385</v>
      </c>
      <c r="AG39" s="377" t="s">
        <v>179</v>
      </c>
      <c r="AH39" s="382">
        <v>63.3</v>
      </c>
      <c r="AI39" s="382">
        <v>18365.3</v>
      </c>
      <c r="AJ39" s="377" t="s">
        <v>180</v>
      </c>
      <c r="AK39" s="377" t="s">
        <v>181</v>
      </c>
      <c r="AL39" s="377" t="s">
        <v>182</v>
      </c>
      <c r="AM39" s="377" t="s">
        <v>183</v>
      </c>
      <c r="AN39" s="377" t="s">
        <v>66</v>
      </c>
      <c r="AO39" s="380">
        <v>80</v>
      </c>
      <c r="AP39" s="385">
        <v>1</v>
      </c>
      <c r="AQ39" s="385">
        <v>1</v>
      </c>
      <c r="AR39" s="383" t="s">
        <v>184</v>
      </c>
      <c r="AS39" s="387">
        <f t="shared" si="27"/>
        <v>1</v>
      </c>
      <c r="AT39">
        <f t="shared" si="28"/>
        <v>1</v>
      </c>
      <c r="AU39" s="387">
        <f>IF(AT39=0,"",IF(AND(AT39=1,M39="F",SUMIF(C2:C76,C39,AS2:AS76)&lt;=1),SUMIF(C2:C76,C39,AS2:AS76),IF(AND(AT39=1,M39="F",SUMIF(C2:C76,C39,AS2:AS76)&gt;1),1,"")))</f>
        <v>1</v>
      </c>
      <c r="AV39" s="387" t="str">
        <f>IF(AT39=0,"",IF(AND(AT39=3,M39="F",SUMIF(C2:C76,C39,AS2:AS76)&lt;=1),SUMIF(C2:C76,C39,AS2:AS76),IF(AND(AT39=3,M39="F",SUMIF(C2:C76,C39,AS2:AS76)&gt;1),1,"")))</f>
        <v/>
      </c>
      <c r="AW39" s="387">
        <f>SUMIF(C2:C76,C39,O2:O76)</f>
        <v>1</v>
      </c>
      <c r="AX39" s="387">
        <f>IF(AND(M39="F",AS39&lt;&gt;0),SUMIF(C2:C76,C39,W2:W76),0)</f>
        <v>131664</v>
      </c>
      <c r="AY39" s="387">
        <f t="shared" si="29"/>
        <v>131664</v>
      </c>
      <c r="AZ39" s="387" t="str">
        <f t="shared" si="30"/>
        <v/>
      </c>
      <c r="BA39" s="387">
        <f t="shared" si="31"/>
        <v>0</v>
      </c>
      <c r="BB39" s="387">
        <f t="shared" si="44"/>
        <v>12500</v>
      </c>
      <c r="BC39" s="387">
        <f t="shared" si="45"/>
        <v>0</v>
      </c>
      <c r="BD39" s="387">
        <f t="shared" si="46"/>
        <v>8163.1679999999997</v>
      </c>
      <c r="BE39" s="387">
        <f t="shared" si="47"/>
        <v>1909.1280000000002</v>
      </c>
      <c r="BF39" s="387">
        <f t="shared" si="48"/>
        <v>15720.681600000002</v>
      </c>
      <c r="BG39" s="387">
        <f t="shared" si="49"/>
        <v>949.29744000000005</v>
      </c>
      <c r="BH39" s="387">
        <f t="shared" si="50"/>
        <v>0</v>
      </c>
      <c r="BI39" s="387">
        <f t="shared" si="51"/>
        <v>728.76023999999995</v>
      </c>
      <c r="BJ39" s="387">
        <f t="shared" si="52"/>
        <v>131.66400000000002</v>
      </c>
      <c r="BK39" s="387">
        <f t="shared" si="53"/>
        <v>0</v>
      </c>
      <c r="BL39" s="387">
        <f t="shared" si="32"/>
        <v>27602.699280000001</v>
      </c>
      <c r="BM39" s="387">
        <f t="shared" si="33"/>
        <v>0</v>
      </c>
      <c r="BN39" s="387">
        <f t="shared" si="54"/>
        <v>13750</v>
      </c>
      <c r="BO39" s="387">
        <f t="shared" si="55"/>
        <v>0</v>
      </c>
      <c r="BP39" s="387">
        <f t="shared" si="56"/>
        <v>8163.1679999999997</v>
      </c>
      <c r="BQ39" s="387">
        <f t="shared" si="57"/>
        <v>1909.1280000000002</v>
      </c>
      <c r="BR39" s="387">
        <f t="shared" si="58"/>
        <v>14720.0352</v>
      </c>
      <c r="BS39" s="387">
        <f t="shared" si="59"/>
        <v>949.29744000000005</v>
      </c>
      <c r="BT39" s="387">
        <f t="shared" si="60"/>
        <v>0</v>
      </c>
      <c r="BU39" s="387">
        <f t="shared" si="61"/>
        <v>728.76023999999995</v>
      </c>
      <c r="BV39" s="387">
        <f t="shared" si="62"/>
        <v>171.16319999999999</v>
      </c>
      <c r="BW39" s="387">
        <f t="shared" si="63"/>
        <v>0</v>
      </c>
      <c r="BX39" s="387">
        <f t="shared" si="34"/>
        <v>26641.552079999998</v>
      </c>
      <c r="BY39" s="387">
        <f t="shared" si="35"/>
        <v>0</v>
      </c>
      <c r="BZ39" s="387">
        <f t="shared" si="36"/>
        <v>1250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-1000.6464000000012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39.499199999999988</v>
      </c>
      <c r="CI39" s="387">
        <f t="shared" si="70"/>
        <v>0</v>
      </c>
      <c r="CJ39" s="387">
        <f t="shared" si="39"/>
        <v>-961.14720000000125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0229-00</v>
      </c>
    </row>
    <row r="40" spans="1:92" ht="15.75" thickBot="1" x14ac:dyDescent="0.3">
      <c r="A40" s="377" t="s">
        <v>162</v>
      </c>
      <c r="B40" s="377" t="s">
        <v>163</v>
      </c>
      <c r="C40" s="377" t="s">
        <v>386</v>
      </c>
      <c r="D40" s="377" t="s">
        <v>165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170</v>
      </c>
      <c r="L40" s="377" t="s">
        <v>171</v>
      </c>
      <c r="M40" s="377" t="s">
        <v>172</v>
      </c>
      <c r="N40" s="377" t="s">
        <v>173</v>
      </c>
      <c r="O40" s="380">
        <v>1</v>
      </c>
      <c r="P40" s="385">
        <v>1</v>
      </c>
      <c r="Q40" s="385">
        <v>1</v>
      </c>
      <c r="R40" s="381">
        <v>80</v>
      </c>
      <c r="S40" s="385">
        <v>1</v>
      </c>
      <c r="T40" s="381">
        <v>79336.17</v>
      </c>
      <c r="U40" s="381">
        <v>0</v>
      </c>
      <c r="V40" s="381">
        <v>28616.71</v>
      </c>
      <c r="W40" s="381">
        <v>83345.600000000006</v>
      </c>
      <c r="X40" s="381">
        <v>29973.35</v>
      </c>
      <c r="Y40" s="381">
        <v>83345.600000000006</v>
      </c>
      <c r="Z40" s="381">
        <v>30614.93</v>
      </c>
      <c r="AA40" s="377" t="s">
        <v>387</v>
      </c>
      <c r="AB40" s="377" t="s">
        <v>388</v>
      </c>
      <c r="AC40" s="377" t="s">
        <v>389</v>
      </c>
      <c r="AD40" s="377" t="s">
        <v>262</v>
      </c>
      <c r="AE40" s="377" t="s">
        <v>170</v>
      </c>
      <c r="AF40" s="377" t="s">
        <v>178</v>
      </c>
      <c r="AG40" s="377" t="s">
        <v>179</v>
      </c>
      <c r="AH40" s="382">
        <v>40.07</v>
      </c>
      <c r="AI40" s="382">
        <v>22582.5</v>
      </c>
      <c r="AJ40" s="377" t="s">
        <v>180</v>
      </c>
      <c r="AK40" s="377" t="s">
        <v>181</v>
      </c>
      <c r="AL40" s="377" t="s">
        <v>182</v>
      </c>
      <c r="AM40" s="377" t="s">
        <v>183</v>
      </c>
      <c r="AN40" s="377" t="s">
        <v>66</v>
      </c>
      <c r="AO40" s="380">
        <v>80</v>
      </c>
      <c r="AP40" s="385">
        <v>1</v>
      </c>
      <c r="AQ40" s="385">
        <v>1</v>
      </c>
      <c r="AR40" s="383" t="s">
        <v>184</v>
      </c>
      <c r="AS40" s="387">
        <f t="shared" si="27"/>
        <v>1</v>
      </c>
      <c r="AT40">
        <f t="shared" si="28"/>
        <v>1</v>
      </c>
      <c r="AU40" s="387">
        <f>IF(AT40=0,"",IF(AND(AT40=1,M40="F",SUMIF(C2:C76,C40,AS2:AS76)&lt;=1),SUMIF(C2:C76,C40,AS2:AS76),IF(AND(AT40=1,M40="F",SUMIF(C2:C76,C40,AS2:AS76)&gt;1),1,"")))</f>
        <v>1</v>
      </c>
      <c r="AV40" s="387" t="str">
        <f>IF(AT40=0,"",IF(AND(AT40=3,M40="F",SUMIF(C2:C76,C40,AS2:AS76)&lt;=1),SUMIF(C2:C76,C40,AS2:AS76),IF(AND(AT40=3,M40="F",SUMIF(C2:C76,C40,AS2:AS76)&gt;1),1,"")))</f>
        <v/>
      </c>
      <c r="AW40" s="387">
        <f>SUMIF(C2:C76,C40,O2:O76)</f>
        <v>1</v>
      </c>
      <c r="AX40" s="387">
        <f>IF(AND(M40="F",AS40&lt;&gt;0),SUMIF(C2:C76,C40,W2:W76),0)</f>
        <v>83345.600000000006</v>
      </c>
      <c r="AY40" s="387">
        <f t="shared" si="29"/>
        <v>83345.600000000006</v>
      </c>
      <c r="AZ40" s="387" t="str">
        <f t="shared" si="30"/>
        <v/>
      </c>
      <c r="BA40" s="387">
        <f t="shared" si="31"/>
        <v>0</v>
      </c>
      <c r="BB40" s="387">
        <f t="shared" si="44"/>
        <v>12500</v>
      </c>
      <c r="BC40" s="387">
        <f t="shared" si="45"/>
        <v>0</v>
      </c>
      <c r="BD40" s="387">
        <f t="shared" si="46"/>
        <v>5167.4272000000001</v>
      </c>
      <c r="BE40" s="387">
        <f t="shared" si="47"/>
        <v>1208.5112000000001</v>
      </c>
      <c r="BF40" s="387">
        <f t="shared" si="48"/>
        <v>9951.464640000002</v>
      </c>
      <c r="BG40" s="387">
        <f t="shared" si="49"/>
        <v>600.92177600000002</v>
      </c>
      <c r="BH40" s="387">
        <f t="shared" si="50"/>
        <v>0</v>
      </c>
      <c r="BI40" s="387">
        <f t="shared" si="51"/>
        <v>461.31789600000002</v>
      </c>
      <c r="BJ40" s="387">
        <f t="shared" si="52"/>
        <v>83.345600000000005</v>
      </c>
      <c r="BK40" s="387">
        <f t="shared" si="53"/>
        <v>0</v>
      </c>
      <c r="BL40" s="387">
        <f t="shared" si="32"/>
        <v>17472.988312000001</v>
      </c>
      <c r="BM40" s="387">
        <f t="shared" si="33"/>
        <v>0</v>
      </c>
      <c r="BN40" s="387">
        <f t="shared" si="54"/>
        <v>13750</v>
      </c>
      <c r="BO40" s="387">
        <f t="shared" si="55"/>
        <v>0</v>
      </c>
      <c r="BP40" s="387">
        <f t="shared" si="56"/>
        <v>5167.4272000000001</v>
      </c>
      <c r="BQ40" s="387">
        <f t="shared" si="57"/>
        <v>1208.5112000000001</v>
      </c>
      <c r="BR40" s="387">
        <f t="shared" si="58"/>
        <v>9318.0380800000003</v>
      </c>
      <c r="BS40" s="387">
        <f t="shared" si="59"/>
        <v>600.92177600000002</v>
      </c>
      <c r="BT40" s="387">
        <f t="shared" si="60"/>
        <v>0</v>
      </c>
      <c r="BU40" s="387">
        <f t="shared" si="61"/>
        <v>461.31789600000002</v>
      </c>
      <c r="BV40" s="387">
        <f t="shared" si="62"/>
        <v>108.34928000000001</v>
      </c>
      <c r="BW40" s="387">
        <f t="shared" si="63"/>
        <v>0</v>
      </c>
      <c r="BX40" s="387">
        <f t="shared" si="34"/>
        <v>16864.565431999999</v>
      </c>
      <c r="BY40" s="387">
        <f t="shared" si="35"/>
        <v>0</v>
      </c>
      <c r="BZ40" s="387">
        <f t="shared" si="36"/>
        <v>1250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-633.42656000000079</v>
      </c>
      <c r="CE40" s="387">
        <f t="shared" si="66"/>
        <v>0</v>
      </c>
      <c r="CF40" s="387">
        <f t="shared" si="67"/>
        <v>0</v>
      </c>
      <c r="CG40" s="387">
        <f t="shared" si="68"/>
        <v>0</v>
      </c>
      <c r="CH40" s="387">
        <f t="shared" si="69"/>
        <v>25.003679999999996</v>
      </c>
      <c r="CI40" s="387">
        <f t="shared" si="70"/>
        <v>0</v>
      </c>
      <c r="CJ40" s="387">
        <f t="shared" si="39"/>
        <v>-608.42288000000076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0229-00</v>
      </c>
    </row>
    <row r="41" spans="1:92" ht="15.75" thickBot="1" x14ac:dyDescent="0.3">
      <c r="A41" s="377" t="s">
        <v>162</v>
      </c>
      <c r="B41" s="377" t="s">
        <v>163</v>
      </c>
      <c r="C41" s="377" t="s">
        <v>390</v>
      </c>
      <c r="D41" s="377" t="s">
        <v>165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276</v>
      </c>
      <c r="K41" s="377" t="s">
        <v>170</v>
      </c>
      <c r="L41" s="377" t="s">
        <v>171</v>
      </c>
      <c r="M41" s="377" t="s">
        <v>172</v>
      </c>
      <c r="N41" s="377" t="s">
        <v>173</v>
      </c>
      <c r="O41" s="380">
        <v>1</v>
      </c>
      <c r="P41" s="385">
        <v>1</v>
      </c>
      <c r="Q41" s="385">
        <v>1</v>
      </c>
      <c r="R41" s="381">
        <v>80</v>
      </c>
      <c r="S41" s="385">
        <v>1</v>
      </c>
      <c r="T41" s="381">
        <v>77398.429999999993</v>
      </c>
      <c r="U41" s="381">
        <v>0</v>
      </c>
      <c r="V41" s="381">
        <v>28132.5</v>
      </c>
      <c r="W41" s="381">
        <v>81182.399999999994</v>
      </c>
      <c r="X41" s="381">
        <v>29519.85</v>
      </c>
      <c r="Y41" s="381">
        <v>81182.399999999994</v>
      </c>
      <c r="Z41" s="381">
        <v>30177.22</v>
      </c>
      <c r="AA41" s="377" t="s">
        <v>391</v>
      </c>
      <c r="AB41" s="377" t="s">
        <v>392</v>
      </c>
      <c r="AC41" s="377" t="s">
        <v>369</v>
      </c>
      <c r="AD41" s="377" t="s">
        <v>332</v>
      </c>
      <c r="AE41" s="377" t="s">
        <v>170</v>
      </c>
      <c r="AF41" s="377" t="s">
        <v>178</v>
      </c>
      <c r="AG41" s="377" t="s">
        <v>179</v>
      </c>
      <c r="AH41" s="382">
        <v>39.03</v>
      </c>
      <c r="AI41" s="382">
        <v>27353.7</v>
      </c>
      <c r="AJ41" s="377" t="s">
        <v>180</v>
      </c>
      <c r="AK41" s="377" t="s">
        <v>181</v>
      </c>
      <c r="AL41" s="377" t="s">
        <v>182</v>
      </c>
      <c r="AM41" s="377" t="s">
        <v>183</v>
      </c>
      <c r="AN41" s="377" t="s">
        <v>66</v>
      </c>
      <c r="AO41" s="380">
        <v>80</v>
      </c>
      <c r="AP41" s="385">
        <v>1</v>
      </c>
      <c r="AQ41" s="385">
        <v>1</v>
      </c>
      <c r="AR41" s="383" t="s">
        <v>184</v>
      </c>
      <c r="AS41" s="387">
        <f t="shared" si="27"/>
        <v>1</v>
      </c>
      <c r="AT41">
        <f t="shared" si="28"/>
        <v>1</v>
      </c>
      <c r="AU41" s="387">
        <f>IF(AT41=0,"",IF(AND(AT41=1,M41="F",SUMIF(C2:C76,C41,AS2:AS76)&lt;=1),SUMIF(C2:C76,C41,AS2:AS76),IF(AND(AT41=1,M41="F",SUMIF(C2:C76,C41,AS2:AS76)&gt;1),1,"")))</f>
        <v>1</v>
      </c>
      <c r="AV41" s="387" t="str">
        <f>IF(AT41=0,"",IF(AND(AT41=3,M41="F",SUMIF(C2:C76,C41,AS2:AS76)&lt;=1),SUMIF(C2:C76,C41,AS2:AS76),IF(AND(AT41=3,M41="F",SUMIF(C2:C76,C41,AS2:AS76)&gt;1),1,"")))</f>
        <v/>
      </c>
      <c r="AW41" s="387">
        <f>SUMIF(C2:C76,C41,O2:O76)</f>
        <v>1</v>
      </c>
      <c r="AX41" s="387">
        <f>IF(AND(M41="F",AS41&lt;&gt;0),SUMIF(C2:C76,C41,W2:W76),0)</f>
        <v>81182.399999999994</v>
      </c>
      <c r="AY41" s="387">
        <f t="shared" si="29"/>
        <v>81182.399999999994</v>
      </c>
      <c r="AZ41" s="387" t="str">
        <f t="shared" si="30"/>
        <v/>
      </c>
      <c r="BA41" s="387">
        <f t="shared" si="31"/>
        <v>0</v>
      </c>
      <c r="BB41" s="387">
        <f t="shared" si="44"/>
        <v>12500</v>
      </c>
      <c r="BC41" s="387">
        <f t="shared" si="45"/>
        <v>0</v>
      </c>
      <c r="BD41" s="387">
        <f t="shared" si="46"/>
        <v>5033.3087999999998</v>
      </c>
      <c r="BE41" s="387">
        <f t="shared" si="47"/>
        <v>1177.1448</v>
      </c>
      <c r="BF41" s="387">
        <f t="shared" si="48"/>
        <v>9693.1785600000003</v>
      </c>
      <c r="BG41" s="387">
        <f t="shared" si="49"/>
        <v>585.32510400000001</v>
      </c>
      <c r="BH41" s="387">
        <f t="shared" si="50"/>
        <v>0</v>
      </c>
      <c r="BI41" s="387">
        <f t="shared" si="51"/>
        <v>449.34458399999994</v>
      </c>
      <c r="BJ41" s="387">
        <f t="shared" si="52"/>
        <v>81.182400000000001</v>
      </c>
      <c r="BK41" s="387">
        <f t="shared" si="53"/>
        <v>0</v>
      </c>
      <c r="BL41" s="387">
        <f t="shared" si="32"/>
        <v>17019.484248000001</v>
      </c>
      <c r="BM41" s="387">
        <f t="shared" si="33"/>
        <v>0</v>
      </c>
      <c r="BN41" s="387">
        <f t="shared" si="54"/>
        <v>13750</v>
      </c>
      <c r="BO41" s="387">
        <f t="shared" si="55"/>
        <v>0</v>
      </c>
      <c r="BP41" s="387">
        <f t="shared" si="56"/>
        <v>5033.3087999999998</v>
      </c>
      <c r="BQ41" s="387">
        <f t="shared" si="57"/>
        <v>1177.1448</v>
      </c>
      <c r="BR41" s="387">
        <f t="shared" si="58"/>
        <v>9076.1923199999983</v>
      </c>
      <c r="BS41" s="387">
        <f t="shared" si="59"/>
        <v>585.32510400000001</v>
      </c>
      <c r="BT41" s="387">
        <f t="shared" si="60"/>
        <v>0</v>
      </c>
      <c r="BU41" s="387">
        <f t="shared" si="61"/>
        <v>449.34458399999994</v>
      </c>
      <c r="BV41" s="387">
        <f t="shared" si="62"/>
        <v>105.53711999999999</v>
      </c>
      <c r="BW41" s="387">
        <f t="shared" si="63"/>
        <v>0</v>
      </c>
      <c r="BX41" s="387">
        <f t="shared" si="34"/>
        <v>16426.852727999998</v>
      </c>
      <c r="BY41" s="387">
        <f t="shared" si="35"/>
        <v>0</v>
      </c>
      <c r="BZ41" s="387">
        <f t="shared" si="36"/>
        <v>1250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-616.98624000000075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24.354719999999993</v>
      </c>
      <c r="CI41" s="387">
        <f t="shared" si="70"/>
        <v>0</v>
      </c>
      <c r="CJ41" s="387">
        <f t="shared" si="39"/>
        <v>-592.63152000000071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0229-00</v>
      </c>
    </row>
    <row r="42" spans="1:92" ht="15.75" thickBot="1" x14ac:dyDescent="0.3">
      <c r="A42" s="377" t="s">
        <v>162</v>
      </c>
      <c r="B42" s="377" t="s">
        <v>163</v>
      </c>
      <c r="C42" s="377" t="s">
        <v>393</v>
      </c>
      <c r="D42" s="377" t="s">
        <v>165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170</v>
      </c>
      <c r="L42" s="377" t="s">
        <v>171</v>
      </c>
      <c r="M42" s="377" t="s">
        <v>172</v>
      </c>
      <c r="N42" s="377" t="s">
        <v>173</v>
      </c>
      <c r="O42" s="380">
        <v>1</v>
      </c>
      <c r="P42" s="385">
        <v>1</v>
      </c>
      <c r="Q42" s="385">
        <v>1</v>
      </c>
      <c r="R42" s="381">
        <v>80</v>
      </c>
      <c r="S42" s="385">
        <v>1</v>
      </c>
      <c r="T42" s="381">
        <v>70569.600000000006</v>
      </c>
      <c r="U42" s="381">
        <v>0</v>
      </c>
      <c r="V42" s="381">
        <v>26757.43</v>
      </c>
      <c r="W42" s="381">
        <v>72425.600000000006</v>
      </c>
      <c r="X42" s="381">
        <v>27683.96</v>
      </c>
      <c r="Y42" s="381">
        <v>72425.600000000006</v>
      </c>
      <c r="Z42" s="381">
        <v>28405.26</v>
      </c>
      <c r="AA42" s="377" t="s">
        <v>394</v>
      </c>
      <c r="AB42" s="377" t="s">
        <v>395</v>
      </c>
      <c r="AC42" s="377" t="s">
        <v>396</v>
      </c>
      <c r="AD42" s="377" t="s">
        <v>397</v>
      </c>
      <c r="AE42" s="377" t="s">
        <v>211</v>
      </c>
      <c r="AF42" s="377" t="s">
        <v>212</v>
      </c>
      <c r="AG42" s="377" t="s">
        <v>179</v>
      </c>
      <c r="AH42" s="382">
        <v>34.82</v>
      </c>
      <c r="AI42" s="382">
        <v>4523.2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5">
        <v>1</v>
      </c>
      <c r="AQ42" s="385">
        <v>1</v>
      </c>
      <c r="AR42" s="383">
        <v>3</v>
      </c>
      <c r="AS42" s="387">
        <f t="shared" si="27"/>
        <v>1</v>
      </c>
      <c r="AT42">
        <f t="shared" si="28"/>
        <v>1</v>
      </c>
      <c r="AU42" s="387">
        <f>IF(AT42=0,"",IF(AND(AT42=1,M42="F",SUMIF(C2:C76,C42,AS2:AS76)&lt;=1),SUMIF(C2:C76,C42,AS2:AS76),IF(AND(AT42=1,M42="F",SUMIF(C2:C76,C42,AS2:AS76)&gt;1),1,"")))</f>
        <v>1</v>
      </c>
      <c r="AV42" s="387" t="str">
        <f>IF(AT42=0,"",IF(AND(AT42=3,M42="F",SUMIF(C2:C76,C42,AS2:AS76)&lt;=1),SUMIF(C2:C76,C42,AS2:AS76),IF(AND(AT42=3,M42="F",SUMIF(C2:C76,C42,AS2:AS76)&gt;1),1,"")))</f>
        <v/>
      </c>
      <c r="AW42" s="387">
        <f>SUMIF(C2:C76,C42,O2:O76)</f>
        <v>1</v>
      </c>
      <c r="AX42" s="387">
        <f>IF(AND(M42="F",AS42&lt;&gt;0),SUMIF(C2:C76,C42,W2:W76),0)</f>
        <v>72425.600000000006</v>
      </c>
      <c r="AY42" s="387">
        <f t="shared" si="29"/>
        <v>72425.600000000006</v>
      </c>
      <c r="AZ42" s="387" t="str">
        <f t="shared" si="30"/>
        <v/>
      </c>
      <c r="BA42" s="387">
        <f t="shared" si="31"/>
        <v>0</v>
      </c>
      <c r="BB42" s="387">
        <f t="shared" si="44"/>
        <v>12500</v>
      </c>
      <c r="BC42" s="387">
        <f t="shared" si="45"/>
        <v>0</v>
      </c>
      <c r="BD42" s="387">
        <f t="shared" si="46"/>
        <v>4490.3872000000001</v>
      </c>
      <c r="BE42" s="387">
        <f t="shared" si="47"/>
        <v>1050.1712000000002</v>
      </c>
      <c r="BF42" s="387">
        <f t="shared" si="48"/>
        <v>8647.616640000002</v>
      </c>
      <c r="BG42" s="387">
        <f t="shared" si="49"/>
        <v>522.18857600000001</v>
      </c>
      <c r="BH42" s="387">
        <f t="shared" si="50"/>
        <v>0</v>
      </c>
      <c r="BI42" s="387">
        <f t="shared" si="51"/>
        <v>400.875696</v>
      </c>
      <c r="BJ42" s="387">
        <f t="shared" si="52"/>
        <v>72.425600000000003</v>
      </c>
      <c r="BK42" s="387">
        <f t="shared" si="53"/>
        <v>0</v>
      </c>
      <c r="BL42" s="387">
        <f t="shared" si="32"/>
        <v>15183.664912000002</v>
      </c>
      <c r="BM42" s="387">
        <f t="shared" si="33"/>
        <v>0</v>
      </c>
      <c r="BN42" s="387">
        <f t="shared" si="54"/>
        <v>13750</v>
      </c>
      <c r="BO42" s="387">
        <f t="shared" si="55"/>
        <v>0</v>
      </c>
      <c r="BP42" s="387">
        <f t="shared" si="56"/>
        <v>4490.3872000000001</v>
      </c>
      <c r="BQ42" s="387">
        <f t="shared" si="57"/>
        <v>1050.1712000000002</v>
      </c>
      <c r="BR42" s="387">
        <f t="shared" si="58"/>
        <v>8097.1820800000005</v>
      </c>
      <c r="BS42" s="387">
        <f t="shared" si="59"/>
        <v>522.18857600000001</v>
      </c>
      <c r="BT42" s="387">
        <f t="shared" si="60"/>
        <v>0</v>
      </c>
      <c r="BU42" s="387">
        <f t="shared" si="61"/>
        <v>400.875696</v>
      </c>
      <c r="BV42" s="387">
        <f t="shared" si="62"/>
        <v>94.153280000000009</v>
      </c>
      <c r="BW42" s="387">
        <f t="shared" si="63"/>
        <v>0</v>
      </c>
      <c r="BX42" s="387">
        <f t="shared" si="34"/>
        <v>14654.958032</v>
      </c>
      <c r="BY42" s="387">
        <f t="shared" si="35"/>
        <v>0</v>
      </c>
      <c r="BZ42" s="387">
        <f t="shared" si="36"/>
        <v>1250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-550.43456000000072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21.727679999999996</v>
      </c>
      <c r="CI42" s="387">
        <f t="shared" si="70"/>
        <v>0</v>
      </c>
      <c r="CJ42" s="387">
        <f t="shared" si="39"/>
        <v>-528.70688000000075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0229-00</v>
      </c>
    </row>
    <row r="43" spans="1:92" ht="15.75" thickBot="1" x14ac:dyDescent="0.3">
      <c r="A43" s="377" t="s">
        <v>162</v>
      </c>
      <c r="B43" s="377" t="s">
        <v>163</v>
      </c>
      <c r="C43" s="377" t="s">
        <v>398</v>
      </c>
      <c r="D43" s="377" t="s">
        <v>165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276</v>
      </c>
      <c r="K43" s="377" t="s">
        <v>214</v>
      </c>
      <c r="L43" s="377" t="s">
        <v>191</v>
      </c>
      <c r="M43" s="377" t="s">
        <v>172</v>
      </c>
      <c r="N43" s="377" t="s">
        <v>173</v>
      </c>
      <c r="O43" s="380">
        <v>1</v>
      </c>
      <c r="P43" s="385">
        <v>1</v>
      </c>
      <c r="Q43" s="385">
        <v>1</v>
      </c>
      <c r="R43" s="381">
        <v>80</v>
      </c>
      <c r="S43" s="385">
        <v>1</v>
      </c>
      <c r="T43" s="381">
        <v>90982.92</v>
      </c>
      <c r="U43" s="381">
        <v>0</v>
      </c>
      <c r="V43" s="381">
        <v>29453.42</v>
      </c>
      <c r="W43" s="381">
        <v>97052.800000000003</v>
      </c>
      <c r="X43" s="381">
        <v>32847.1</v>
      </c>
      <c r="Y43" s="381">
        <v>97052.800000000003</v>
      </c>
      <c r="Z43" s="381">
        <v>33388.6</v>
      </c>
      <c r="AA43" s="377" t="s">
        <v>399</v>
      </c>
      <c r="AB43" s="377" t="s">
        <v>400</v>
      </c>
      <c r="AC43" s="377" t="s">
        <v>401</v>
      </c>
      <c r="AD43" s="377" t="s">
        <v>199</v>
      </c>
      <c r="AE43" s="377" t="s">
        <v>214</v>
      </c>
      <c r="AF43" s="377" t="s">
        <v>196</v>
      </c>
      <c r="AG43" s="377" t="s">
        <v>179</v>
      </c>
      <c r="AH43" s="382">
        <v>46.66</v>
      </c>
      <c r="AI43" s="382">
        <v>8238.5</v>
      </c>
      <c r="AJ43" s="377" t="s">
        <v>180</v>
      </c>
      <c r="AK43" s="377" t="s">
        <v>181</v>
      </c>
      <c r="AL43" s="377" t="s">
        <v>182</v>
      </c>
      <c r="AM43" s="377" t="s">
        <v>183</v>
      </c>
      <c r="AN43" s="377" t="s">
        <v>66</v>
      </c>
      <c r="AO43" s="380">
        <v>80</v>
      </c>
      <c r="AP43" s="385">
        <v>1</v>
      </c>
      <c r="AQ43" s="385">
        <v>1</v>
      </c>
      <c r="AR43" s="383" t="s">
        <v>184</v>
      </c>
      <c r="AS43" s="387">
        <f t="shared" si="27"/>
        <v>1</v>
      </c>
      <c r="AT43">
        <f t="shared" si="28"/>
        <v>1</v>
      </c>
      <c r="AU43" s="387">
        <f>IF(AT43=0,"",IF(AND(AT43=1,M43="F",SUMIF(C2:C76,C43,AS2:AS76)&lt;=1),SUMIF(C2:C76,C43,AS2:AS76),IF(AND(AT43=1,M43="F",SUMIF(C2:C76,C43,AS2:AS76)&gt;1),1,"")))</f>
        <v>1</v>
      </c>
      <c r="AV43" s="387" t="str">
        <f>IF(AT43=0,"",IF(AND(AT43=3,M43="F",SUMIF(C2:C76,C43,AS2:AS76)&lt;=1),SUMIF(C2:C76,C43,AS2:AS76),IF(AND(AT43=3,M43="F",SUMIF(C2:C76,C43,AS2:AS76)&gt;1),1,"")))</f>
        <v/>
      </c>
      <c r="AW43" s="387">
        <f>SUMIF(C2:C76,C43,O2:O76)</f>
        <v>1</v>
      </c>
      <c r="AX43" s="387">
        <f>IF(AND(M43="F",AS43&lt;&gt;0),SUMIF(C2:C76,C43,W2:W76),0)</f>
        <v>97052.800000000003</v>
      </c>
      <c r="AY43" s="387">
        <f t="shared" si="29"/>
        <v>97052.800000000003</v>
      </c>
      <c r="AZ43" s="387" t="str">
        <f t="shared" si="30"/>
        <v/>
      </c>
      <c r="BA43" s="387">
        <f t="shared" si="31"/>
        <v>0</v>
      </c>
      <c r="BB43" s="387">
        <f t="shared" si="44"/>
        <v>12500</v>
      </c>
      <c r="BC43" s="387">
        <f t="shared" si="45"/>
        <v>0</v>
      </c>
      <c r="BD43" s="387">
        <f t="shared" si="46"/>
        <v>6017.2736000000004</v>
      </c>
      <c r="BE43" s="387">
        <f t="shared" si="47"/>
        <v>1407.2656000000002</v>
      </c>
      <c r="BF43" s="387">
        <f t="shared" si="48"/>
        <v>11588.10432</v>
      </c>
      <c r="BG43" s="387">
        <f t="shared" si="49"/>
        <v>699.75068800000008</v>
      </c>
      <c r="BH43" s="387">
        <f t="shared" si="50"/>
        <v>0</v>
      </c>
      <c r="BI43" s="387">
        <f t="shared" si="51"/>
        <v>537.18724800000007</v>
      </c>
      <c r="BJ43" s="387">
        <f t="shared" si="52"/>
        <v>97.052800000000005</v>
      </c>
      <c r="BK43" s="387">
        <f t="shared" si="53"/>
        <v>0</v>
      </c>
      <c r="BL43" s="387">
        <f t="shared" si="32"/>
        <v>20346.634256000001</v>
      </c>
      <c r="BM43" s="387">
        <f t="shared" si="33"/>
        <v>0</v>
      </c>
      <c r="BN43" s="387">
        <f t="shared" si="54"/>
        <v>13750</v>
      </c>
      <c r="BO43" s="387">
        <f t="shared" si="55"/>
        <v>0</v>
      </c>
      <c r="BP43" s="387">
        <f t="shared" si="56"/>
        <v>6017.2736000000004</v>
      </c>
      <c r="BQ43" s="387">
        <f t="shared" si="57"/>
        <v>1407.2656000000002</v>
      </c>
      <c r="BR43" s="387">
        <f t="shared" si="58"/>
        <v>10850.50304</v>
      </c>
      <c r="BS43" s="387">
        <f t="shared" si="59"/>
        <v>699.75068800000008</v>
      </c>
      <c r="BT43" s="387">
        <f t="shared" si="60"/>
        <v>0</v>
      </c>
      <c r="BU43" s="387">
        <f t="shared" si="61"/>
        <v>537.18724800000007</v>
      </c>
      <c r="BV43" s="387">
        <f t="shared" si="62"/>
        <v>126.16864</v>
      </c>
      <c r="BW43" s="387">
        <f t="shared" si="63"/>
        <v>0</v>
      </c>
      <c r="BX43" s="387">
        <f t="shared" si="34"/>
        <v>19638.148816000001</v>
      </c>
      <c r="BY43" s="387">
        <f t="shared" si="35"/>
        <v>0</v>
      </c>
      <c r="BZ43" s="387">
        <f t="shared" si="36"/>
        <v>1250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-737.601280000001</v>
      </c>
      <c r="CE43" s="387">
        <f t="shared" si="66"/>
        <v>0</v>
      </c>
      <c r="CF43" s="387">
        <f t="shared" si="67"/>
        <v>0</v>
      </c>
      <c r="CG43" s="387">
        <f t="shared" si="68"/>
        <v>0</v>
      </c>
      <c r="CH43" s="387">
        <f t="shared" si="69"/>
        <v>29.115839999999992</v>
      </c>
      <c r="CI43" s="387">
        <f t="shared" si="70"/>
        <v>0</v>
      </c>
      <c r="CJ43" s="387">
        <f t="shared" si="39"/>
        <v>-708.48544000000106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0229-00</v>
      </c>
    </row>
    <row r="44" spans="1:92" ht="15.75" thickBot="1" x14ac:dyDescent="0.3">
      <c r="A44" s="377" t="s">
        <v>162</v>
      </c>
      <c r="B44" s="377" t="s">
        <v>163</v>
      </c>
      <c r="C44" s="377" t="s">
        <v>402</v>
      </c>
      <c r="D44" s="377" t="s">
        <v>304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186</v>
      </c>
      <c r="K44" s="377" t="s">
        <v>305</v>
      </c>
      <c r="L44" s="377" t="s">
        <v>306</v>
      </c>
      <c r="M44" s="377" t="s">
        <v>172</v>
      </c>
      <c r="N44" s="377" t="s">
        <v>173</v>
      </c>
      <c r="O44" s="380">
        <v>1</v>
      </c>
      <c r="P44" s="385">
        <v>1</v>
      </c>
      <c r="Q44" s="385">
        <v>1</v>
      </c>
      <c r="R44" s="381">
        <v>80</v>
      </c>
      <c r="S44" s="385">
        <v>1</v>
      </c>
      <c r="T44" s="381">
        <v>36111.519999999997</v>
      </c>
      <c r="U44" s="381">
        <v>0</v>
      </c>
      <c r="V44" s="381">
        <v>19477.07</v>
      </c>
      <c r="W44" s="381">
        <v>39520</v>
      </c>
      <c r="X44" s="381">
        <v>20785.349999999999</v>
      </c>
      <c r="Y44" s="381">
        <v>39520</v>
      </c>
      <c r="Z44" s="381">
        <v>21746.85</v>
      </c>
      <c r="AA44" s="377" t="s">
        <v>403</v>
      </c>
      <c r="AB44" s="377" t="s">
        <v>404</v>
      </c>
      <c r="AC44" s="377" t="s">
        <v>348</v>
      </c>
      <c r="AD44" s="377" t="s">
        <v>405</v>
      </c>
      <c r="AE44" s="377" t="s">
        <v>305</v>
      </c>
      <c r="AF44" s="377" t="s">
        <v>310</v>
      </c>
      <c r="AG44" s="377" t="s">
        <v>179</v>
      </c>
      <c r="AH44" s="380">
        <v>19</v>
      </c>
      <c r="AI44" s="382">
        <v>13456.7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5">
        <v>1</v>
      </c>
      <c r="AQ44" s="385">
        <v>1</v>
      </c>
      <c r="AR44" s="383" t="s">
        <v>184</v>
      </c>
      <c r="AS44" s="387">
        <f t="shared" si="27"/>
        <v>1</v>
      </c>
      <c r="AT44">
        <f t="shared" si="28"/>
        <v>1</v>
      </c>
      <c r="AU44" s="387">
        <f>IF(AT44=0,"",IF(AND(AT44=1,M44="F",SUMIF(C2:C76,C44,AS2:AS76)&lt;=1),SUMIF(C2:C76,C44,AS2:AS76),IF(AND(AT44=1,M44="F",SUMIF(C2:C76,C44,AS2:AS76)&gt;1),1,"")))</f>
        <v>1</v>
      </c>
      <c r="AV44" s="387" t="str">
        <f>IF(AT44=0,"",IF(AND(AT44=3,M44="F",SUMIF(C2:C76,C44,AS2:AS76)&lt;=1),SUMIF(C2:C76,C44,AS2:AS76),IF(AND(AT44=3,M44="F",SUMIF(C2:C76,C44,AS2:AS76)&gt;1),1,"")))</f>
        <v/>
      </c>
      <c r="AW44" s="387">
        <f>SUMIF(C2:C76,C44,O2:O76)</f>
        <v>1</v>
      </c>
      <c r="AX44" s="387">
        <f>IF(AND(M44="F",AS44&lt;&gt;0),SUMIF(C2:C76,C44,W2:W76),0)</f>
        <v>39520</v>
      </c>
      <c r="AY44" s="387">
        <f t="shared" si="29"/>
        <v>39520</v>
      </c>
      <c r="AZ44" s="387" t="str">
        <f t="shared" si="30"/>
        <v/>
      </c>
      <c r="BA44" s="387">
        <f t="shared" si="31"/>
        <v>0</v>
      </c>
      <c r="BB44" s="387">
        <f t="shared" si="44"/>
        <v>12500</v>
      </c>
      <c r="BC44" s="387">
        <f t="shared" si="45"/>
        <v>0</v>
      </c>
      <c r="BD44" s="387">
        <f t="shared" si="46"/>
        <v>2450.2399999999998</v>
      </c>
      <c r="BE44" s="387">
        <f t="shared" si="47"/>
        <v>573.04000000000008</v>
      </c>
      <c r="BF44" s="387">
        <f t="shared" si="48"/>
        <v>4718.6880000000001</v>
      </c>
      <c r="BG44" s="387">
        <f t="shared" si="49"/>
        <v>284.93920000000003</v>
      </c>
      <c r="BH44" s="387">
        <f t="shared" si="50"/>
        <v>0</v>
      </c>
      <c r="BI44" s="387">
        <f t="shared" si="51"/>
        <v>218.7432</v>
      </c>
      <c r="BJ44" s="387">
        <f t="shared" si="52"/>
        <v>39.520000000000003</v>
      </c>
      <c r="BK44" s="387">
        <f t="shared" si="53"/>
        <v>0</v>
      </c>
      <c r="BL44" s="387">
        <f t="shared" si="32"/>
        <v>8285.1704000000009</v>
      </c>
      <c r="BM44" s="387">
        <f t="shared" si="33"/>
        <v>0</v>
      </c>
      <c r="BN44" s="387">
        <f t="shared" si="54"/>
        <v>13750</v>
      </c>
      <c r="BO44" s="387">
        <f t="shared" si="55"/>
        <v>0</v>
      </c>
      <c r="BP44" s="387">
        <f t="shared" si="56"/>
        <v>2450.2399999999998</v>
      </c>
      <c r="BQ44" s="387">
        <f t="shared" si="57"/>
        <v>573.04000000000008</v>
      </c>
      <c r="BR44" s="387">
        <f t="shared" si="58"/>
        <v>4418.3360000000002</v>
      </c>
      <c r="BS44" s="387">
        <f t="shared" si="59"/>
        <v>284.93920000000003</v>
      </c>
      <c r="BT44" s="387">
        <f t="shared" si="60"/>
        <v>0</v>
      </c>
      <c r="BU44" s="387">
        <f t="shared" si="61"/>
        <v>218.7432</v>
      </c>
      <c r="BV44" s="387">
        <f t="shared" si="62"/>
        <v>51.375999999999998</v>
      </c>
      <c r="BW44" s="387">
        <f t="shared" si="63"/>
        <v>0</v>
      </c>
      <c r="BX44" s="387">
        <f t="shared" si="34"/>
        <v>7996.6743999999999</v>
      </c>
      <c r="BY44" s="387">
        <f t="shared" si="35"/>
        <v>0</v>
      </c>
      <c r="BZ44" s="387">
        <f t="shared" si="36"/>
        <v>1250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-300.35200000000037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11.855999999999996</v>
      </c>
      <c r="CI44" s="387">
        <f t="shared" si="70"/>
        <v>0</v>
      </c>
      <c r="CJ44" s="387">
        <f t="shared" si="39"/>
        <v>-288.49600000000038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0229-00</v>
      </c>
    </row>
    <row r="45" spans="1:92" ht="15.75" thickBot="1" x14ac:dyDescent="0.3">
      <c r="A45" s="377" t="s">
        <v>162</v>
      </c>
      <c r="B45" s="377" t="s">
        <v>163</v>
      </c>
      <c r="C45" s="377" t="s">
        <v>406</v>
      </c>
      <c r="D45" s="377" t="s">
        <v>189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186</v>
      </c>
      <c r="K45" s="377" t="s">
        <v>190</v>
      </c>
      <c r="L45" s="377" t="s">
        <v>191</v>
      </c>
      <c r="M45" s="377" t="s">
        <v>172</v>
      </c>
      <c r="N45" s="377" t="s">
        <v>173</v>
      </c>
      <c r="O45" s="380">
        <v>1</v>
      </c>
      <c r="P45" s="385">
        <v>1</v>
      </c>
      <c r="Q45" s="385">
        <v>1</v>
      </c>
      <c r="R45" s="381">
        <v>80</v>
      </c>
      <c r="S45" s="385">
        <v>1</v>
      </c>
      <c r="T45" s="381">
        <v>58604.27</v>
      </c>
      <c r="U45" s="381">
        <v>0</v>
      </c>
      <c r="V45" s="381">
        <v>24022.17</v>
      </c>
      <c r="W45" s="381">
        <v>60611.199999999997</v>
      </c>
      <c r="X45" s="381">
        <v>25207.11</v>
      </c>
      <c r="Y45" s="381">
        <v>60611.199999999997</v>
      </c>
      <c r="Z45" s="381">
        <v>26014.65</v>
      </c>
      <c r="AA45" s="377" t="s">
        <v>407</v>
      </c>
      <c r="AB45" s="377" t="s">
        <v>408</v>
      </c>
      <c r="AC45" s="377" t="s">
        <v>409</v>
      </c>
      <c r="AD45" s="377" t="s">
        <v>218</v>
      </c>
      <c r="AE45" s="377" t="s">
        <v>410</v>
      </c>
      <c r="AF45" s="377" t="s">
        <v>411</v>
      </c>
      <c r="AG45" s="377" t="s">
        <v>179</v>
      </c>
      <c r="AH45" s="382">
        <v>29.14</v>
      </c>
      <c r="AI45" s="382">
        <v>2161.6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5">
        <v>1</v>
      </c>
      <c r="AQ45" s="385">
        <v>1</v>
      </c>
      <c r="AR45" s="383">
        <v>3</v>
      </c>
      <c r="AS45" s="387">
        <f t="shared" si="27"/>
        <v>1</v>
      </c>
      <c r="AT45">
        <f t="shared" si="28"/>
        <v>1</v>
      </c>
      <c r="AU45" s="387">
        <f>IF(AT45=0,"",IF(AND(AT45=1,M45="F",SUMIF(C2:C76,C45,AS2:AS76)&lt;=1),SUMIF(C2:C76,C45,AS2:AS76),IF(AND(AT45=1,M45="F",SUMIF(C2:C76,C45,AS2:AS76)&gt;1),1,"")))</f>
        <v>1</v>
      </c>
      <c r="AV45" s="387" t="str">
        <f>IF(AT45=0,"",IF(AND(AT45=3,M45="F",SUMIF(C2:C76,C45,AS2:AS76)&lt;=1),SUMIF(C2:C76,C45,AS2:AS76),IF(AND(AT45=3,M45="F",SUMIF(C2:C76,C45,AS2:AS76)&gt;1),1,"")))</f>
        <v/>
      </c>
      <c r="AW45" s="387">
        <f>SUMIF(C2:C76,C45,O2:O76)</f>
        <v>1</v>
      </c>
      <c r="AX45" s="387">
        <f>IF(AND(M45="F",AS45&lt;&gt;0),SUMIF(C2:C76,C45,W2:W76),0)</f>
        <v>60611.199999999997</v>
      </c>
      <c r="AY45" s="387">
        <f t="shared" si="29"/>
        <v>60611.199999999997</v>
      </c>
      <c r="AZ45" s="387" t="str">
        <f t="shared" si="30"/>
        <v/>
      </c>
      <c r="BA45" s="387">
        <f t="shared" si="31"/>
        <v>0</v>
      </c>
      <c r="BB45" s="387">
        <f t="shared" si="44"/>
        <v>12500</v>
      </c>
      <c r="BC45" s="387">
        <f t="shared" si="45"/>
        <v>0</v>
      </c>
      <c r="BD45" s="387">
        <f t="shared" si="46"/>
        <v>3757.8943999999997</v>
      </c>
      <c r="BE45" s="387">
        <f t="shared" si="47"/>
        <v>878.86239999999998</v>
      </c>
      <c r="BF45" s="387">
        <f t="shared" si="48"/>
        <v>7236.9772800000001</v>
      </c>
      <c r="BG45" s="387">
        <f t="shared" si="49"/>
        <v>437.00675200000001</v>
      </c>
      <c r="BH45" s="387">
        <f t="shared" si="50"/>
        <v>0</v>
      </c>
      <c r="BI45" s="387">
        <f t="shared" si="51"/>
        <v>335.48299199999997</v>
      </c>
      <c r="BJ45" s="387">
        <f t="shared" si="52"/>
        <v>60.611199999999997</v>
      </c>
      <c r="BK45" s="387">
        <f t="shared" si="53"/>
        <v>0</v>
      </c>
      <c r="BL45" s="387">
        <f t="shared" si="32"/>
        <v>12706.835023999996</v>
      </c>
      <c r="BM45" s="387">
        <f t="shared" si="33"/>
        <v>0</v>
      </c>
      <c r="BN45" s="387">
        <f t="shared" si="54"/>
        <v>13750</v>
      </c>
      <c r="BO45" s="387">
        <f t="shared" si="55"/>
        <v>0</v>
      </c>
      <c r="BP45" s="387">
        <f t="shared" si="56"/>
        <v>3757.8943999999997</v>
      </c>
      <c r="BQ45" s="387">
        <f t="shared" si="57"/>
        <v>878.86239999999998</v>
      </c>
      <c r="BR45" s="387">
        <f t="shared" si="58"/>
        <v>6776.332159999999</v>
      </c>
      <c r="BS45" s="387">
        <f t="shared" si="59"/>
        <v>437.00675200000001</v>
      </c>
      <c r="BT45" s="387">
        <f t="shared" si="60"/>
        <v>0</v>
      </c>
      <c r="BU45" s="387">
        <f t="shared" si="61"/>
        <v>335.48299199999997</v>
      </c>
      <c r="BV45" s="387">
        <f t="shared" si="62"/>
        <v>78.79455999999999</v>
      </c>
      <c r="BW45" s="387">
        <f t="shared" si="63"/>
        <v>0</v>
      </c>
      <c r="BX45" s="387">
        <f t="shared" si="34"/>
        <v>12264.373263999996</v>
      </c>
      <c r="BY45" s="387">
        <f t="shared" si="35"/>
        <v>0</v>
      </c>
      <c r="BZ45" s="387">
        <f t="shared" si="36"/>
        <v>1250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-460.64512000000053</v>
      </c>
      <c r="CE45" s="387">
        <f t="shared" si="66"/>
        <v>0</v>
      </c>
      <c r="CF45" s="387">
        <f t="shared" si="67"/>
        <v>0</v>
      </c>
      <c r="CG45" s="387">
        <f t="shared" si="68"/>
        <v>0</v>
      </c>
      <c r="CH45" s="387">
        <f t="shared" si="69"/>
        <v>18.183359999999993</v>
      </c>
      <c r="CI45" s="387">
        <f t="shared" si="70"/>
        <v>0</v>
      </c>
      <c r="CJ45" s="387">
        <f t="shared" si="39"/>
        <v>-442.46176000000054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0229-00</v>
      </c>
    </row>
    <row r="46" spans="1:92" ht="15.75" thickBot="1" x14ac:dyDescent="0.3">
      <c r="A46" s="377" t="s">
        <v>162</v>
      </c>
      <c r="B46" s="377" t="s">
        <v>163</v>
      </c>
      <c r="C46" s="377" t="s">
        <v>412</v>
      </c>
      <c r="D46" s="377" t="s">
        <v>350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186</v>
      </c>
      <c r="K46" s="377" t="s">
        <v>351</v>
      </c>
      <c r="L46" s="377" t="s">
        <v>179</v>
      </c>
      <c r="M46" s="377" t="s">
        <v>172</v>
      </c>
      <c r="N46" s="377" t="s">
        <v>173</v>
      </c>
      <c r="O46" s="380">
        <v>1</v>
      </c>
      <c r="P46" s="385">
        <v>1</v>
      </c>
      <c r="Q46" s="385">
        <v>1</v>
      </c>
      <c r="R46" s="381">
        <v>80</v>
      </c>
      <c r="S46" s="385">
        <v>1</v>
      </c>
      <c r="T46" s="381">
        <v>35974.54</v>
      </c>
      <c r="U46" s="381">
        <v>0</v>
      </c>
      <c r="V46" s="381">
        <v>19372.73</v>
      </c>
      <c r="W46" s="381">
        <v>39166.400000000001</v>
      </c>
      <c r="X46" s="381">
        <v>20711.2</v>
      </c>
      <c r="Y46" s="381">
        <v>39166.400000000001</v>
      </c>
      <c r="Z46" s="381">
        <v>21675.29</v>
      </c>
      <c r="AA46" s="377" t="s">
        <v>413</v>
      </c>
      <c r="AB46" s="377" t="s">
        <v>414</v>
      </c>
      <c r="AC46" s="377" t="s">
        <v>415</v>
      </c>
      <c r="AD46" s="377" t="s">
        <v>416</v>
      </c>
      <c r="AE46" s="377" t="s">
        <v>351</v>
      </c>
      <c r="AF46" s="377" t="s">
        <v>339</v>
      </c>
      <c r="AG46" s="377" t="s">
        <v>179</v>
      </c>
      <c r="AH46" s="382">
        <v>18.829999999999998</v>
      </c>
      <c r="AI46" s="382">
        <v>16445.8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5">
        <v>1</v>
      </c>
      <c r="AQ46" s="385">
        <v>1</v>
      </c>
      <c r="AR46" s="383" t="s">
        <v>184</v>
      </c>
      <c r="AS46" s="387">
        <f t="shared" si="27"/>
        <v>1</v>
      </c>
      <c r="AT46">
        <f t="shared" si="28"/>
        <v>1</v>
      </c>
      <c r="AU46" s="387">
        <f>IF(AT46=0,"",IF(AND(AT46=1,M46="F",SUMIF(C2:C76,C46,AS2:AS76)&lt;=1),SUMIF(C2:C76,C46,AS2:AS76),IF(AND(AT46=1,M46="F",SUMIF(C2:C76,C46,AS2:AS76)&gt;1),1,"")))</f>
        <v>1</v>
      </c>
      <c r="AV46" s="387" t="str">
        <f>IF(AT46=0,"",IF(AND(AT46=3,M46="F",SUMIF(C2:C76,C46,AS2:AS76)&lt;=1),SUMIF(C2:C76,C46,AS2:AS76),IF(AND(AT46=3,M46="F",SUMIF(C2:C76,C46,AS2:AS76)&gt;1),1,"")))</f>
        <v/>
      </c>
      <c r="AW46" s="387">
        <f>SUMIF(C2:C76,C46,O2:O76)</f>
        <v>1</v>
      </c>
      <c r="AX46" s="387">
        <f>IF(AND(M46="F",AS46&lt;&gt;0),SUMIF(C2:C76,C46,W2:W76),0)</f>
        <v>39166.400000000001</v>
      </c>
      <c r="AY46" s="387">
        <f t="shared" si="29"/>
        <v>39166.400000000001</v>
      </c>
      <c r="AZ46" s="387" t="str">
        <f t="shared" si="30"/>
        <v/>
      </c>
      <c r="BA46" s="387">
        <f t="shared" si="31"/>
        <v>0</v>
      </c>
      <c r="BB46" s="387">
        <f t="shared" si="44"/>
        <v>12500</v>
      </c>
      <c r="BC46" s="387">
        <f t="shared" si="45"/>
        <v>0</v>
      </c>
      <c r="BD46" s="387">
        <f t="shared" si="46"/>
        <v>2428.3168000000001</v>
      </c>
      <c r="BE46" s="387">
        <f t="shared" si="47"/>
        <v>567.91280000000006</v>
      </c>
      <c r="BF46" s="387">
        <f t="shared" si="48"/>
        <v>4676.4681600000004</v>
      </c>
      <c r="BG46" s="387">
        <f t="shared" si="49"/>
        <v>282.38974400000001</v>
      </c>
      <c r="BH46" s="387">
        <f t="shared" si="50"/>
        <v>0</v>
      </c>
      <c r="BI46" s="387">
        <f t="shared" si="51"/>
        <v>216.786024</v>
      </c>
      <c r="BJ46" s="387">
        <f t="shared" si="52"/>
        <v>39.166400000000003</v>
      </c>
      <c r="BK46" s="387">
        <f t="shared" si="53"/>
        <v>0</v>
      </c>
      <c r="BL46" s="387">
        <f t="shared" si="32"/>
        <v>8211.0399280000001</v>
      </c>
      <c r="BM46" s="387">
        <f t="shared" si="33"/>
        <v>0</v>
      </c>
      <c r="BN46" s="387">
        <f t="shared" si="54"/>
        <v>13750</v>
      </c>
      <c r="BO46" s="387">
        <f t="shared" si="55"/>
        <v>0</v>
      </c>
      <c r="BP46" s="387">
        <f t="shared" si="56"/>
        <v>2428.3168000000001</v>
      </c>
      <c r="BQ46" s="387">
        <f t="shared" si="57"/>
        <v>567.91280000000006</v>
      </c>
      <c r="BR46" s="387">
        <f t="shared" si="58"/>
        <v>4378.8035200000004</v>
      </c>
      <c r="BS46" s="387">
        <f t="shared" si="59"/>
        <v>282.38974400000001</v>
      </c>
      <c r="BT46" s="387">
        <f t="shared" si="60"/>
        <v>0</v>
      </c>
      <c r="BU46" s="387">
        <f t="shared" si="61"/>
        <v>216.786024</v>
      </c>
      <c r="BV46" s="387">
        <f t="shared" si="62"/>
        <v>50.916319999999999</v>
      </c>
      <c r="BW46" s="387">
        <f t="shared" si="63"/>
        <v>0</v>
      </c>
      <c r="BX46" s="387">
        <f t="shared" si="34"/>
        <v>7925.1252080000004</v>
      </c>
      <c r="BY46" s="387">
        <f t="shared" si="35"/>
        <v>0</v>
      </c>
      <c r="BZ46" s="387">
        <f t="shared" si="36"/>
        <v>1250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-297.66464000000036</v>
      </c>
      <c r="CE46" s="387">
        <f t="shared" si="66"/>
        <v>0</v>
      </c>
      <c r="CF46" s="387">
        <f t="shared" si="67"/>
        <v>0</v>
      </c>
      <c r="CG46" s="387">
        <f t="shared" si="68"/>
        <v>0</v>
      </c>
      <c r="CH46" s="387">
        <f t="shared" si="69"/>
        <v>11.749919999999998</v>
      </c>
      <c r="CI46" s="387">
        <f t="shared" si="70"/>
        <v>0</v>
      </c>
      <c r="CJ46" s="387">
        <f t="shared" si="39"/>
        <v>-285.91472000000039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0229-00</v>
      </c>
    </row>
    <row r="47" spans="1:92" ht="15.75" thickBot="1" x14ac:dyDescent="0.3">
      <c r="A47" s="377" t="s">
        <v>162</v>
      </c>
      <c r="B47" s="377" t="s">
        <v>163</v>
      </c>
      <c r="C47" s="377" t="s">
        <v>417</v>
      </c>
      <c r="D47" s="377" t="s">
        <v>189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186</v>
      </c>
      <c r="K47" s="377" t="s">
        <v>190</v>
      </c>
      <c r="L47" s="377" t="s">
        <v>191</v>
      </c>
      <c r="M47" s="377" t="s">
        <v>172</v>
      </c>
      <c r="N47" s="377" t="s">
        <v>173</v>
      </c>
      <c r="O47" s="380">
        <v>1</v>
      </c>
      <c r="P47" s="385">
        <v>1</v>
      </c>
      <c r="Q47" s="385">
        <v>1</v>
      </c>
      <c r="R47" s="381">
        <v>80</v>
      </c>
      <c r="S47" s="385">
        <v>1</v>
      </c>
      <c r="T47" s="381">
        <v>98616.03</v>
      </c>
      <c r="U47" s="381">
        <v>0</v>
      </c>
      <c r="V47" s="381">
        <v>31888.799999999999</v>
      </c>
      <c r="W47" s="381">
        <v>98384</v>
      </c>
      <c r="X47" s="381">
        <v>33126.160000000003</v>
      </c>
      <c r="Y47" s="381">
        <v>98384</v>
      </c>
      <c r="Z47" s="381">
        <v>33657.96</v>
      </c>
      <c r="AA47" s="377" t="s">
        <v>418</v>
      </c>
      <c r="AB47" s="377" t="s">
        <v>419</v>
      </c>
      <c r="AC47" s="377" t="s">
        <v>420</v>
      </c>
      <c r="AD47" s="377" t="s">
        <v>421</v>
      </c>
      <c r="AE47" s="377" t="s">
        <v>190</v>
      </c>
      <c r="AF47" s="377" t="s">
        <v>196</v>
      </c>
      <c r="AG47" s="377" t="s">
        <v>179</v>
      </c>
      <c r="AH47" s="382">
        <v>47.3</v>
      </c>
      <c r="AI47" s="382">
        <v>14285.3</v>
      </c>
      <c r="AJ47" s="377" t="s">
        <v>180</v>
      </c>
      <c r="AK47" s="377" t="s">
        <v>181</v>
      </c>
      <c r="AL47" s="377" t="s">
        <v>182</v>
      </c>
      <c r="AM47" s="377" t="s">
        <v>183</v>
      </c>
      <c r="AN47" s="377" t="s">
        <v>66</v>
      </c>
      <c r="AO47" s="380">
        <v>80</v>
      </c>
      <c r="AP47" s="385">
        <v>1</v>
      </c>
      <c r="AQ47" s="385">
        <v>1</v>
      </c>
      <c r="AR47" s="383" t="s">
        <v>184</v>
      </c>
      <c r="AS47" s="387">
        <f t="shared" si="27"/>
        <v>1</v>
      </c>
      <c r="AT47">
        <f t="shared" si="28"/>
        <v>1</v>
      </c>
      <c r="AU47" s="387">
        <f>IF(AT47=0,"",IF(AND(AT47=1,M47="F",SUMIF(C2:C76,C47,AS2:AS76)&lt;=1),SUMIF(C2:C76,C47,AS2:AS76),IF(AND(AT47=1,M47="F",SUMIF(C2:C76,C47,AS2:AS76)&gt;1),1,"")))</f>
        <v>1</v>
      </c>
      <c r="AV47" s="387" t="str">
        <f>IF(AT47=0,"",IF(AND(AT47=3,M47="F",SUMIF(C2:C76,C47,AS2:AS76)&lt;=1),SUMIF(C2:C76,C47,AS2:AS76),IF(AND(AT47=3,M47="F",SUMIF(C2:C76,C47,AS2:AS76)&gt;1),1,"")))</f>
        <v/>
      </c>
      <c r="AW47" s="387">
        <f>SUMIF(C2:C76,C47,O2:O76)</f>
        <v>1</v>
      </c>
      <c r="AX47" s="387">
        <f>IF(AND(M47="F",AS47&lt;&gt;0),SUMIF(C2:C76,C47,W2:W76),0)</f>
        <v>98384</v>
      </c>
      <c r="AY47" s="387">
        <f t="shared" si="29"/>
        <v>98384</v>
      </c>
      <c r="AZ47" s="387" t="str">
        <f t="shared" si="30"/>
        <v/>
      </c>
      <c r="BA47" s="387">
        <f t="shared" si="31"/>
        <v>0</v>
      </c>
      <c r="BB47" s="387">
        <f t="shared" si="44"/>
        <v>12500</v>
      </c>
      <c r="BC47" s="387">
        <f t="shared" si="45"/>
        <v>0</v>
      </c>
      <c r="BD47" s="387">
        <f t="shared" si="46"/>
        <v>6099.808</v>
      </c>
      <c r="BE47" s="387">
        <f t="shared" si="47"/>
        <v>1426.568</v>
      </c>
      <c r="BF47" s="387">
        <f t="shared" si="48"/>
        <v>11747.0496</v>
      </c>
      <c r="BG47" s="387">
        <f t="shared" si="49"/>
        <v>709.34864000000005</v>
      </c>
      <c r="BH47" s="387">
        <f t="shared" si="50"/>
        <v>0</v>
      </c>
      <c r="BI47" s="387">
        <f t="shared" si="51"/>
        <v>544.55543999999998</v>
      </c>
      <c r="BJ47" s="387">
        <f t="shared" si="52"/>
        <v>98.384</v>
      </c>
      <c r="BK47" s="387">
        <f t="shared" si="53"/>
        <v>0</v>
      </c>
      <c r="BL47" s="387">
        <f t="shared" si="32"/>
        <v>20625.713680000001</v>
      </c>
      <c r="BM47" s="387">
        <f t="shared" si="33"/>
        <v>0</v>
      </c>
      <c r="BN47" s="387">
        <f t="shared" si="54"/>
        <v>13750</v>
      </c>
      <c r="BO47" s="387">
        <f t="shared" si="55"/>
        <v>0</v>
      </c>
      <c r="BP47" s="387">
        <f t="shared" si="56"/>
        <v>6099.808</v>
      </c>
      <c r="BQ47" s="387">
        <f t="shared" si="57"/>
        <v>1426.568</v>
      </c>
      <c r="BR47" s="387">
        <f t="shared" si="58"/>
        <v>10999.331200000001</v>
      </c>
      <c r="BS47" s="387">
        <f t="shared" si="59"/>
        <v>709.34864000000005</v>
      </c>
      <c r="BT47" s="387">
        <f t="shared" si="60"/>
        <v>0</v>
      </c>
      <c r="BU47" s="387">
        <f t="shared" si="61"/>
        <v>544.55543999999998</v>
      </c>
      <c r="BV47" s="387">
        <f t="shared" si="62"/>
        <v>127.89919999999999</v>
      </c>
      <c r="BW47" s="387">
        <f t="shared" si="63"/>
        <v>0</v>
      </c>
      <c r="BX47" s="387">
        <f t="shared" si="34"/>
        <v>19907.510480000001</v>
      </c>
      <c r="BY47" s="387">
        <f t="shared" si="35"/>
        <v>0</v>
      </c>
      <c r="BZ47" s="387">
        <f t="shared" si="36"/>
        <v>1250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-747.71840000000088</v>
      </c>
      <c r="CE47" s="387">
        <f t="shared" si="66"/>
        <v>0</v>
      </c>
      <c r="CF47" s="387">
        <f t="shared" si="67"/>
        <v>0</v>
      </c>
      <c r="CG47" s="387">
        <f t="shared" si="68"/>
        <v>0</v>
      </c>
      <c r="CH47" s="387">
        <f t="shared" si="69"/>
        <v>29.515199999999993</v>
      </c>
      <c r="CI47" s="387">
        <f t="shared" si="70"/>
        <v>0</v>
      </c>
      <c r="CJ47" s="387">
        <f t="shared" si="39"/>
        <v>-718.20320000000083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0229-00</v>
      </c>
    </row>
    <row r="48" spans="1:92" ht="15.75" thickBot="1" x14ac:dyDescent="0.3">
      <c r="A48" s="377" t="s">
        <v>162</v>
      </c>
      <c r="B48" s="377" t="s">
        <v>163</v>
      </c>
      <c r="C48" s="377" t="s">
        <v>422</v>
      </c>
      <c r="D48" s="377" t="s">
        <v>423</v>
      </c>
      <c r="E48" s="377" t="s">
        <v>166</v>
      </c>
      <c r="F48" s="378" t="s">
        <v>167</v>
      </c>
      <c r="G48" s="377" t="s">
        <v>168</v>
      </c>
      <c r="H48" s="379"/>
      <c r="I48" s="379"/>
      <c r="J48" s="377" t="s">
        <v>276</v>
      </c>
      <c r="K48" s="377" t="s">
        <v>424</v>
      </c>
      <c r="L48" s="377" t="s">
        <v>191</v>
      </c>
      <c r="M48" s="377" t="s">
        <v>172</v>
      </c>
      <c r="N48" s="377" t="s">
        <v>173</v>
      </c>
      <c r="O48" s="380">
        <v>1</v>
      </c>
      <c r="P48" s="385">
        <v>1</v>
      </c>
      <c r="Q48" s="385">
        <v>1</v>
      </c>
      <c r="R48" s="381">
        <v>80</v>
      </c>
      <c r="S48" s="385">
        <v>1</v>
      </c>
      <c r="T48" s="381">
        <v>29408.080000000002</v>
      </c>
      <c r="U48" s="381">
        <v>0</v>
      </c>
      <c r="V48" s="381">
        <v>13901.91</v>
      </c>
      <c r="W48" s="381">
        <v>60611.199999999997</v>
      </c>
      <c r="X48" s="381">
        <v>25207.1</v>
      </c>
      <c r="Y48" s="381">
        <v>60611.199999999997</v>
      </c>
      <c r="Z48" s="381">
        <v>26014.639999999999</v>
      </c>
      <c r="AA48" s="377" t="s">
        <v>425</v>
      </c>
      <c r="AB48" s="377" t="s">
        <v>426</v>
      </c>
      <c r="AC48" s="377" t="s">
        <v>427</v>
      </c>
      <c r="AD48" s="377" t="s">
        <v>218</v>
      </c>
      <c r="AE48" s="377" t="s">
        <v>428</v>
      </c>
      <c r="AF48" s="377" t="s">
        <v>411</v>
      </c>
      <c r="AG48" s="377" t="s">
        <v>179</v>
      </c>
      <c r="AH48" s="382">
        <v>29.14</v>
      </c>
      <c r="AI48" s="382">
        <v>1158.5</v>
      </c>
      <c r="AJ48" s="377" t="s">
        <v>180</v>
      </c>
      <c r="AK48" s="377" t="s">
        <v>181</v>
      </c>
      <c r="AL48" s="377" t="s">
        <v>182</v>
      </c>
      <c r="AM48" s="377" t="s">
        <v>183</v>
      </c>
      <c r="AN48" s="377" t="s">
        <v>66</v>
      </c>
      <c r="AO48" s="380">
        <v>80</v>
      </c>
      <c r="AP48" s="385">
        <v>1</v>
      </c>
      <c r="AQ48" s="385">
        <v>1</v>
      </c>
      <c r="AR48" s="383">
        <v>3</v>
      </c>
      <c r="AS48" s="387">
        <f t="shared" si="27"/>
        <v>1</v>
      </c>
      <c r="AT48">
        <f t="shared" si="28"/>
        <v>1</v>
      </c>
      <c r="AU48" s="387">
        <f>IF(AT48=0,"",IF(AND(AT48=1,M48="F",SUMIF(C2:C76,C48,AS2:AS76)&lt;=1),SUMIF(C2:C76,C48,AS2:AS76),IF(AND(AT48=1,M48="F",SUMIF(C2:C76,C48,AS2:AS76)&gt;1),1,"")))</f>
        <v>1</v>
      </c>
      <c r="AV48" s="387" t="str">
        <f>IF(AT48=0,"",IF(AND(AT48=3,M48="F",SUMIF(C2:C76,C48,AS2:AS76)&lt;=1),SUMIF(C2:C76,C48,AS2:AS76),IF(AND(AT48=3,M48="F",SUMIF(C2:C76,C48,AS2:AS76)&gt;1),1,"")))</f>
        <v/>
      </c>
      <c r="AW48" s="387">
        <f>SUMIF(C2:C76,C48,O2:O76)</f>
        <v>1</v>
      </c>
      <c r="AX48" s="387">
        <f>IF(AND(M48="F",AS48&lt;&gt;0),SUMIF(C2:C76,C48,W2:W76),0)</f>
        <v>60611.199999999997</v>
      </c>
      <c r="AY48" s="387">
        <f t="shared" si="29"/>
        <v>60611.199999999997</v>
      </c>
      <c r="AZ48" s="387" t="str">
        <f t="shared" si="30"/>
        <v/>
      </c>
      <c r="BA48" s="387">
        <f t="shared" si="31"/>
        <v>0</v>
      </c>
      <c r="BB48" s="387">
        <f t="shared" si="44"/>
        <v>12500</v>
      </c>
      <c r="BC48" s="387">
        <f t="shared" si="45"/>
        <v>0</v>
      </c>
      <c r="BD48" s="387">
        <f t="shared" si="46"/>
        <v>3757.8943999999997</v>
      </c>
      <c r="BE48" s="387">
        <f t="shared" si="47"/>
        <v>878.86239999999998</v>
      </c>
      <c r="BF48" s="387">
        <f t="shared" si="48"/>
        <v>7236.9772800000001</v>
      </c>
      <c r="BG48" s="387">
        <f t="shared" si="49"/>
        <v>437.00675200000001</v>
      </c>
      <c r="BH48" s="387">
        <f t="shared" si="50"/>
        <v>0</v>
      </c>
      <c r="BI48" s="387">
        <f t="shared" si="51"/>
        <v>335.48299199999997</v>
      </c>
      <c r="BJ48" s="387">
        <f t="shared" si="52"/>
        <v>60.611199999999997</v>
      </c>
      <c r="BK48" s="387">
        <f t="shared" si="53"/>
        <v>0</v>
      </c>
      <c r="BL48" s="387">
        <f t="shared" si="32"/>
        <v>12706.835023999996</v>
      </c>
      <c r="BM48" s="387">
        <f t="shared" si="33"/>
        <v>0</v>
      </c>
      <c r="BN48" s="387">
        <f t="shared" si="54"/>
        <v>13750</v>
      </c>
      <c r="BO48" s="387">
        <f t="shared" si="55"/>
        <v>0</v>
      </c>
      <c r="BP48" s="387">
        <f t="shared" si="56"/>
        <v>3757.8943999999997</v>
      </c>
      <c r="BQ48" s="387">
        <f t="shared" si="57"/>
        <v>878.86239999999998</v>
      </c>
      <c r="BR48" s="387">
        <f t="shared" si="58"/>
        <v>6776.332159999999</v>
      </c>
      <c r="BS48" s="387">
        <f t="shared" si="59"/>
        <v>437.00675200000001</v>
      </c>
      <c r="BT48" s="387">
        <f t="shared" si="60"/>
        <v>0</v>
      </c>
      <c r="BU48" s="387">
        <f t="shared" si="61"/>
        <v>335.48299199999997</v>
      </c>
      <c r="BV48" s="387">
        <f t="shared" si="62"/>
        <v>78.79455999999999</v>
      </c>
      <c r="BW48" s="387">
        <f t="shared" si="63"/>
        <v>0</v>
      </c>
      <c r="BX48" s="387">
        <f t="shared" si="34"/>
        <v>12264.373263999996</v>
      </c>
      <c r="BY48" s="387">
        <f t="shared" si="35"/>
        <v>0</v>
      </c>
      <c r="BZ48" s="387">
        <f t="shared" si="36"/>
        <v>1250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-460.64512000000053</v>
      </c>
      <c r="CE48" s="387">
        <f t="shared" si="66"/>
        <v>0</v>
      </c>
      <c r="CF48" s="387">
        <f t="shared" si="67"/>
        <v>0</v>
      </c>
      <c r="CG48" s="387">
        <f t="shared" si="68"/>
        <v>0</v>
      </c>
      <c r="CH48" s="387">
        <f t="shared" si="69"/>
        <v>18.183359999999993</v>
      </c>
      <c r="CI48" s="387">
        <f t="shared" si="70"/>
        <v>0</v>
      </c>
      <c r="CJ48" s="387">
        <f t="shared" si="39"/>
        <v>-442.46176000000054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0229-00</v>
      </c>
    </row>
    <row r="49" spans="1:92" ht="15.75" thickBot="1" x14ac:dyDescent="0.3">
      <c r="A49" s="377" t="s">
        <v>162</v>
      </c>
      <c r="B49" s="377" t="s">
        <v>163</v>
      </c>
      <c r="C49" s="377" t="s">
        <v>429</v>
      </c>
      <c r="D49" s="377" t="s">
        <v>430</v>
      </c>
      <c r="E49" s="377" t="s">
        <v>166</v>
      </c>
      <c r="F49" s="378" t="s">
        <v>167</v>
      </c>
      <c r="G49" s="377" t="s">
        <v>168</v>
      </c>
      <c r="H49" s="379"/>
      <c r="I49" s="379"/>
      <c r="J49" s="377" t="s">
        <v>431</v>
      </c>
      <c r="K49" s="377" t="s">
        <v>432</v>
      </c>
      <c r="L49" s="377" t="s">
        <v>167</v>
      </c>
      <c r="M49" s="377" t="s">
        <v>187</v>
      </c>
      <c r="N49" s="377" t="s">
        <v>433</v>
      </c>
      <c r="O49" s="380">
        <v>0</v>
      </c>
      <c r="P49" s="385">
        <v>1</v>
      </c>
      <c r="Q49" s="385">
        <v>0</v>
      </c>
      <c r="R49" s="381">
        <v>0</v>
      </c>
      <c r="S49" s="385">
        <v>0</v>
      </c>
      <c r="T49" s="381">
        <v>0</v>
      </c>
      <c r="U49" s="381">
        <v>0</v>
      </c>
      <c r="V49" s="381">
        <v>0</v>
      </c>
      <c r="W49" s="381">
        <v>0</v>
      </c>
      <c r="X49" s="381">
        <v>0</v>
      </c>
      <c r="Y49" s="381">
        <v>0</v>
      </c>
      <c r="Z49" s="381">
        <v>0</v>
      </c>
      <c r="AA49" s="379"/>
      <c r="AB49" s="377" t="s">
        <v>45</v>
      </c>
      <c r="AC49" s="377" t="s">
        <v>45</v>
      </c>
      <c r="AD49" s="379"/>
      <c r="AE49" s="379"/>
      <c r="AF49" s="379"/>
      <c r="AG49" s="379"/>
      <c r="AH49" s="380">
        <v>0</v>
      </c>
      <c r="AI49" s="380">
        <v>0</v>
      </c>
      <c r="AJ49" s="379"/>
      <c r="AK49" s="379"/>
      <c r="AL49" s="377" t="s">
        <v>182</v>
      </c>
      <c r="AM49" s="379"/>
      <c r="AN49" s="379"/>
      <c r="AO49" s="380">
        <v>0</v>
      </c>
      <c r="AP49" s="385">
        <v>0</v>
      </c>
      <c r="AQ49" s="385">
        <v>0</v>
      </c>
      <c r="AR49" s="384"/>
      <c r="AS49" s="387">
        <f t="shared" si="27"/>
        <v>0</v>
      </c>
      <c r="AT49">
        <f t="shared" si="28"/>
        <v>0</v>
      </c>
      <c r="AU49" s="387" t="str">
        <f>IF(AT49=0,"",IF(AND(AT49=1,M49="F",SUMIF(C2:C76,C49,AS2:AS76)&lt;=1),SUMIF(C2:C76,C49,AS2:AS76),IF(AND(AT49=1,M49="F",SUMIF(C2:C76,C49,AS2:AS76)&gt;1),1,"")))</f>
        <v/>
      </c>
      <c r="AV49" s="387" t="str">
        <f>IF(AT49=0,"",IF(AND(AT49=3,M49="F",SUMIF(C2:C76,C49,AS2:AS76)&lt;=1),SUMIF(C2:C76,C49,AS2:AS76),IF(AND(AT49=3,M49="F",SUMIF(C2:C76,C49,AS2:AS76)&gt;1),1,"")))</f>
        <v/>
      </c>
      <c r="AW49" s="387">
        <f>SUMIF(C2:C76,C49,O2:O76)</f>
        <v>0</v>
      </c>
      <c r="AX49" s="387">
        <f>IF(AND(M49="F",AS49&lt;&gt;0),SUMIF(C2:C76,C49,W2:W76),0)</f>
        <v>0</v>
      </c>
      <c r="AY49" s="387" t="str">
        <f t="shared" si="29"/>
        <v/>
      </c>
      <c r="AZ49" s="387" t="str">
        <f t="shared" si="30"/>
        <v/>
      </c>
      <c r="BA49" s="387">
        <f t="shared" si="31"/>
        <v>0</v>
      </c>
      <c r="BB49" s="387">
        <f t="shared" si="44"/>
        <v>0</v>
      </c>
      <c r="BC49" s="387">
        <f t="shared" si="45"/>
        <v>0</v>
      </c>
      <c r="BD49" s="387">
        <f t="shared" si="46"/>
        <v>0</v>
      </c>
      <c r="BE49" s="387">
        <f t="shared" si="47"/>
        <v>0</v>
      </c>
      <c r="BF49" s="387">
        <f t="shared" si="48"/>
        <v>0</v>
      </c>
      <c r="BG49" s="387">
        <f t="shared" si="49"/>
        <v>0</v>
      </c>
      <c r="BH49" s="387">
        <f t="shared" si="50"/>
        <v>0</v>
      </c>
      <c r="BI49" s="387">
        <f t="shared" si="51"/>
        <v>0</v>
      </c>
      <c r="BJ49" s="387">
        <f t="shared" si="52"/>
        <v>0</v>
      </c>
      <c r="BK49" s="387">
        <f t="shared" si="53"/>
        <v>0</v>
      </c>
      <c r="BL49" s="387">
        <f t="shared" si="32"/>
        <v>0</v>
      </c>
      <c r="BM49" s="387">
        <f t="shared" si="33"/>
        <v>0</v>
      </c>
      <c r="BN49" s="387">
        <f t="shared" si="54"/>
        <v>0</v>
      </c>
      <c r="BO49" s="387">
        <f t="shared" si="55"/>
        <v>0</v>
      </c>
      <c r="BP49" s="387">
        <f t="shared" si="56"/>
        <v>0</v>
      </c>
      <c r="BQ49" s="387">
        <f t="shared" si="57"/>
        <v>0</v>
      </c>
      <c r="BR49" s="387">
        <f t="shared" si="58"/>
        <v>0</v>
      </c>
      <c r="BS49" s="387">
        <f t="shared" si="59"/>
        <v>0</v>
      </c>
      <c r="BT49" s="387">
        <f t="shared" si="60"/>
        <v>0</v>
      </c>
      <c r="BU49" s="387">
        <f t="shared" si="61"/>
        <v>0</v>
      </c>
      <c r="BV49" s="387">
        <f t="shared" si="62"/>
        <v>0</v>
      </c>
      <c r="BW49" s="387">
        <f t="shared" si="63"/>
        <v>0</v>
      </c>
      <c r="BX49" s="387">
        <f t="shared" si="34"/>
        <v>0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0</v>
      </c>
      <c r="CG49" s="387">
        <f t="shared" si="68"/>
        <v>0</v>
      </c>
      <c r="CH49" s="387">
        <f t="shared" si="69"/>
        <v>0</v>
      </c>
      <c r="CI49" s="387">
        <f t="shared" si="70"/>
        <v>0</v>
      </c>
      <c r="CJ49" s="387">
        <f t="shared" si="39"/>
        <v>0</v>
      </c>
      <c r="CK49" s="387" t="str">
        <f t="shared" si="40"/>
        <v/>
      </c>
      <c r="CL49" s="387">
        <f t="shared" si="41"/>
        <v>0</v>
      </c>
      <c r="CM49" s="387">
        <f t="shared" si="42"/>
        <v>0</v>
      </c>
      <c r="CN49" s="387" t="str">
        <f t="shared" si="43"/>
        <v>0229-00</v>
      </c>
    </row>
    <row r="50" spans="1:92" ht="15.75" thickBot="1" x14ac:dyDescent="0.3">
      <c r="A50" s="377" t="s">
        <v>162</v>
      </c>
      <c r="B50" s="377" t="s">
        <v>163</v>
      </c>
      <c r="C50" s="377" t="s">
        <v>434</v>
      </c>
      <c r="D50" s="377" t="s">
        <v>189</v>
      </c>
      <c r="E50" s="377" t="s">
        <v>166</v>
      </c>
      <c r="F50" s="378" t="s">
        <v>167</v>
      </c>
      <c r="G50" s="377" t="s">
        <v>168</v>
      </c>
      <c r="H50" s="379"/>
      <c r="I50" s="379"/>
      <c r="J50" s="377" t="s">
        <v>186</v>
      </c>
      <c r="K50" s="377" t="s">
        <v>198</v>
      </c>
      <c r="L50" s="377" t="s">
        <v>199</v>
      </c>
      <c r="M50" s="377" t="s">
        <v>172</v>
      </c>
      <c r="N50" s="377" t="s">
        <v>173</v>
      </c>
      <c r="O50" s="380">
        <v>1</v>
      </c>
      <c r="P50" s="385">
        <v>1</v>
      </c>
      <c r="Q50" s="385">
        <v>1</v>
      </c>
      <c r="R50" s="381">
        <v>80</v>
      </c>
      <c r="S50" s="385">
        <v>1</v>
      </c>
      <c r="T50" s="381">
        <v>62569.599999999999</v>
      </c>
      <c r="U50" s="381">
        <v>0</v>
      </c>
      <c r="V50" s="381">
        <v>25138.6</v>
      </c>
      <c r="W50" s="381">
        <v>70844.800000000003</v>
      </c>
      <c r="X50" s="381">
        <v>27352.58</v>
      </c>
      <c r="Y50" s="381">
        <v>70844.800000000003</v>
      </c>
      <c r="Z50" s="381">
        <v>28085.41</v>
      </c>
      <c r="AA50" s="377" t="s">
        <v>435</v>
      </c>
      <c r="AB50" s="377" t="s">
        <v>436</v>
      </c>
      <c r="AC50" s="377" t="s">
        <v>437</v>
      </c>
      <c r="AD50" s="377" t="s">
        <v>438</v>
      </c>
      <c r="AE50" s="377" t="s">
        <v>327</v>
      </c>
      <c r="AF50" s="377" t="s">
        <v>212</v>
      </c>
      <c r="AG50" s="377" t="s">
        <v>179</v>
      </c>
      <c r="AH50" s="382">
        <v>34.06</v>
      </c>
      <c r="AI50" s="380">
        <v>3666</v>
      </c>
      <c r="AJ50" s="377" t="s">
        <v>180</v>
      </c>
      <c r="AK50" s="377" t="s">
        <v>181</v>
      </c>
      <c r="AL50" s="377" t="s">
        <v>182</v>
      </c>
      <c r="AM50" s="377" t="s">
        <v>183</v>
      </c>
      <c r="AN50" s="377" t="s">
        <v>66</v>
      </c>
      <c r="AO50" s="380">
        <v>80</v>
      </c>
      <c r="AP50" s="385">
        <v>1</v>
      </c>
      <c r="AQ50" s="385">
        <v>1</v>
      </c>
      <c r="AR50" s="383" t="s">
        <v>184</v>
      </c>
      <c r="AS50" s="387">
        <f t="shared" si="27"/>
        <v>1</v>
      </c>
      <c r="AT50">
        <f t="shared" si="28"/>
        <v>1</v>
      </c>
      <c r="AU50" s="387">
        <f>IF(AT50=0,"",IF(AND(AT50=1,M50="F",SUMIF(C2:C76,C50,AS2:AS76)&lt;=1),SUMIF(C2:C76,C50,AS2:AS76),IF(AND(AT50=1,M50="F",SUMIF(C2:C76,C50,AS2:AS76)&gt;1),1,"")))</f>
        <v>1</v>
      </c>
      <c r="AV50" s="387" t="str">
        <f>IF(AT50=0,"",IF(AND(AT50=3,M50="F",SUMIF(C2:C76,C50,AS2:AS76)&lt;=1),SUMIF(C2:C76,C50,AS2:AS76),IF(AND(AT50=3,M50="F",SUMIF(C2:C76,C50,AS2:AS76)&gt;1),1,"")))</f>
        <v/>
      </c>
      <c r="AW50" s="387">
        <f>SUMIF(C2:C76,C50,O2:O76)</f>
        <v>1</v>
      </c>
      <c r="AX50" s="387">
        <f>IF(AND(M50="F",AS50&lt;&gt;0),SUMIF(C2:C76,C50,W2:W76),0)</f>
        <v>70844.800000000003</v>
      </c>
      <c r="AY50" s="387">
        <f t="shared" si="29"/>
        <v>70844.800000000003</v>
      </c>
      <c r="AZ50" s="387" t="str">
        <f t="shared" si="30"/>
        <v/>
      </c>
      <c r="BA50" s="387">
        <f t="shared" si="31"/>
        <v>0</v>
      </c>
      <c r="BB50" s="387">
        <f t="shared" si="44"/>
        <v>12500</v>
      </c>
      <c r="BC50" s="387">
        <f t="shared" si="45"/>
        <v>0</v>
      </c>
      <c r="BD50" s="387">
        <f t="shared" si="46"/>
        <v>4392.3775999999998</v>
      </c>
      <c r="BE50" s="387">
        <f t="shared" si="47"/>
        <v>1027.2496000000001</v>
      </c>
      <c r="BF50" s="387">
        <f t="shared" si="48"/>
        <v>8458.8691200000012</v>
      </c>
      <c r="BG50" s="387">
        <f t="shared" si="49"/>
        <v>510.79100800000003</v>
      </c>
      <c r="BH50" s="387">
        <f t="shared" si="50"/>
        <v>0</v>
      </c>
      <c r="BI50" s="387">
        <f t="shared" si="51"/>
        <v>392.125968</v>
      </c>
      <c r="BJ50" s="387">
        <f t="shared" si="52"/>
        <v>70.844800000000006</v>
      </c>
      <c r="BK50" s="387">
        <f t="shared" si="53"/>
        <v>0</v>
      </c>
      <c r="BL50" s="387">
        <f t="shared" si="32"/>
        <v>14852.258096000003</v>
      </c>
      <c r="BM50" s="387">
        <f t="shared" si="33"/>
        <v>0</v>
      </c>
      <c r="BN50" s="387">
        <f t="shared" si="54"/>
        <v>13750</v>
      </c>
      <c r="BO50" s="387">
        <f t="shared" si="55"/>
        <v>0</v>
      </c>
      <c r="BP50" s="387">
        <f t="shared" si="56"/>
        <v>4392.3775999999998</v>
      </c>
      <c r="BQ50" s="387">
        <f t="shared" si="57"/>
        <v>1027.2496000000001</v>
      </c>
      <c r="BR50" s="387">
        <f t="shared" si="58"/>
        <v>7920.4486400000005</v>
      </c>
      <c r="BS50" s="387">
        <f t="shared" si="59"/>
        <v>510.79100800000003</v>
      </c>
      <c r="BT50" s="387">
        <f t="shared" si="60"/>
        <v>0</v>
      </c>
      <c r="BU50" s="387">
        <f t="shared" si="61"/>
        <v>392.125968</v>
      </c>
      <c r="BV50" s="387">
        <f t="shared" si="62"/>
        <v>92.098240000000004</v>
      </c>
      <c r="BW50" s="387">
        <f t="shared" si="63"/>
        <v>0</v>
      </c>
      <c r="BX50" s="387">
        <f t="shared" si="34"/>
        <v>14335.091056000001</v>
      </c>
      <c r="BY50" s="387">
        <f t="shared" si="35"/>
        <v>0</v>
      </c>
      <c r="BZ50" s="387">
        <f t="shared" si="36"/>
        <v>1250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-538.42048000000068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21.253439999999994</v>
      </c>
      <c r="CI50" s="387">
        <f t="shared" si="70"/>
        <v>0</v>
      </c>
      <c r="CJ50" s="387">
        <f t="shared" si="39"/>
        <v>-517.16704000000072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0229-00</v>
      </c>
    </row>
    <row r="51" spans="1:92" ht="15.75" thickBot="1" x14ac:dyDescent="0.3">
      <c r="A51" s="377" t="s">
        <v>162</v>
      </c>
      <c r="B51" s="377" t="s">
        <v>163</v>
      </c>
      <c r="C51" s="377" t="s">
        <v>439</v>
      </c>
      <c r="D51" s="377" t="s">
        <v>189</v>
      </c>
      <c r="E51" s="377" t="s">
        <v>166</v>
      </c>
      <c r="F51" s="378" t="s">
        <v>167</v>
      </c>
      <c r="G51" s="377" t="s">
        <v>168</v>
      </c>
      <c r="H51" s="379"/>
      <c r="I51" s="379"/>
      <c r="J51" s="377" t="s">
        <v>186</v>
      </c>
      <c r="K51" s="377" t="s">
        <v>190</v>
      </c>
      <c r="L51" s="377" t="s">
        <v>191</v>
      </c>
      <c r="M51" s="377" t="s">
        <v>172</v>
      </c>
      <c r="N51" s="377" t="s">
        <v>173</v>
      </c>
      <c r="O51" s="380">
        <v>1</v>
      </c>
      <c r="P51" s="385">
        <v>1</v>
      </c>
      <c r="Q51" s="385">
        <v>1</v>
      </c>
      <c r="R51" s="381">
        <v>80</v>
      </c>
      <c r="S51" s="385">
        <v>1</v>
      </c>
      <c r="T51" s="381">
        <v>59099.9</v>
      </c>
      <c r="U51" s="381">
        <v>0</v>
      </c>
      <c r="V51" s="381">
        <v>24394.13</v>
      </c>
      <c r="W51" s="381">
        <v>60611.199999999997</v>
      </c>
      <c r="X51" s="381">
        <v>25207.11</v>
      </c>
      <c r="Y51" s="381">
        <v>60611.199999999997</v>
      </c>
      <c r="Z51" s="381">
        <v>26014.65</v>
      </c>
      <c r="AA51" s="377" t="s">
        <v>440</v>
      </c>
      <c r="AB51" s="377" t="s">
        <v>441</v>
      </c>
      <c r="AC51" s="377" t="s">
        <v>442</v>
      </c>
      <c r="AD51" s="377" t="s">
        <v>195</v>
      </c>
      <c r="AE51" s="377" t="s">
        <v>410</v>
      </c>
      <c r="AF51" s="377" t="s">
        <v>411</v>
      </c>
      <c r="AG51" s="377" t="s">
        <v>179</v>
      </c>
      <c r="AH51" s="382">
        <v>29.14</v>
      </c>
      <c r="AI51" s="382">
        <v>2080.1999999999998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5">
        <v>1</v>
      </c>
      <c r="AQ51" s="385">
        <v>1</v>
      </c>
      <c r="AR51" s="383">
        <v>3</v>
      </c>
      <c r="AS51" s="387">
        <f t="shared" si="27"/>
        <v>1</v>
      </c>
      <c r="AT51">
        <f t="shared" si="28"/>
        <v>1</v>
      </c>
      <c r="AU51" s="387">
        <f>IF(AT51=0,"",IF(AND(AT51=1,M51="F",SUMIF(C2:C76,C51,AS2:AS76)&lt;=1),SUMIF(C2:C76,C51,AS2:AS76),IF(AND(AT51=1,M51="F",SUMIF(C2:C76,C51,AS2:AS76)&gt;1),1,"")))</f>
        <v>1</v>
      </c>
      <c r="AV51" s="387" t="str">
        <f>IF(AT51=0,"",IF(AND(AT51=3,M51="F",SUMIF(C2:C76,C51,AS2:AS76)&lt;=1),SUMIF(C2:C76,C51,AS2:AS76),IF(AND(AT51=3,M51="F",SUMIF(C2:C76,C51,AS2:AS76)&gt;1),1,"")))</f>
        <v/>
      </c>
      <c r="AW51" s="387">
        <f>SUMIF(C2:C76,C51,O2:O76)</f>
        <v>1</v>
      </c>
      <c r="AX51" s="387">
        <f>IF(AND(M51="F",AS51&lt;&gt;0),SUMIF(C2:C76,C51,W2:W76),0)</f>
        <v>60611.199999999997</v>
      </c>
      <c r="AY51" s="387">
        <f t="shared" si="29"/>
        <v>60611.199999999997</v>
      </c>
      <c r="AZ51" s="387" t="str">
        <f t="shared" si="30"/>
        <v/>
      </c>
      <c r="BA51" s="387">
        <f t="shared" si="31"/>
        <v>0</v>
      </c>
      <c r="BB51" s="387">
        <f t="shared" si="44"/>
        <v>12500</v>
      </c>
      <c r="BC51" s="387">
        <f t="shared" si="45"/>
        <v>0</v>
      </c>
      <c r="BD51" s="387">
        <f t="shared" si="46"/>
        <v>3757.8943999999997</v>
      </c>
      <c r="BE51" s="387">
        <f t="shared" si="47"/>
        <v>878.86239999999998</v>
      </c>
      <c r="BF51" s="387">
        <f t="shared" si="48"/>
        <v>7236.9772800000001</v>
      </c>
      <c r="BG51" s="387">
        <f t="shared" si="49"/>
        <v>437.00675200000001</v>
      </c>
      <c r="BH51" s="387">
        <f t="shared" si="50"/>
        <v>0</v>
      </c>
      <c r="BI51" s="387">
        <f t="shared" si="51"/>
        <v>335.48299199999997</v>
      </c>
      <c r="BJ51" s="387">
        <f t="shared" si="52"/>
        <v>60.611199999999997</v>
      </c>
      <c r="BK51" s="387">
        <f t="shared" si="53"/>
        <v>0</v>
      </c>
      <c r="BL51" s="387">
        <f t="shared" si="32"/>
        <v>12706.835023999996</v>
      </c>
      <c r="BM51" s="387">
        <f t="shared" si="33"/>
        <v>0</v>
      </c>
      <c r="BN51" s="387">
        <f t="shared" si="54"/>
        <v>13750</v>
      </c>
      <c r="BO51" s="387">
        <f t="shared" si="55"/>
        <v>0</v>
      </c>
      <c r="BP51" s="387">
        <f t="shared" si="56"/>
        <v>3757.8943999999997</v>
      </c>
      <c r="BQ51" s="387">
        <f t="shared" si="57"/>
        <v>878.86239999999998</v>
      </c>
      <c r="BR51" s="387">
        <f t="shared" si="58"/>
        <v>6776.332159999999</v>
      </c>
      <c r="BS51" s="387">
        <f t="shared" si="59"/>
        <v>437.00675200000001</v>
      </c>
      <c r="BT51" s="387">
        <f t="shared" si="60"/>
        <v>0</v>
      </c>
      <c r="BU51" s="387">
        <f t="shared" si="61"/>
        <v>335.48299199999997</v>
      </c>
      <c r="BV51" s="387">
        <f t="shared" si="62"/>
        <v>78.79455999999999</v>
      </c>
      <c r="BW51" s="387">
        <f t="shared" si="63"/>
        <v>0</v>
      </c>
      <c r="BX51" s="387">
        <f t="shared" si="34"/>
        <v>12264.373263999996</v>
      </c>
      <c r="BY51" s="387">
        <f t="shared" si="35"/>
        <v>0</v>
      </c>
      <c r="BZ51" s="387">
        <f t="shared" si="36"/>
        <v>1250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-460.64512000000053</v>
      </c>
      <c r="CE51" s="387">
        <f t="shared" si="66"/>
        <v>0</v>
      </c>
      <c r="CF51" s="387">
        <f t="shared" si="67"/>
        <v>0</v>
      </c>
      <c r="CG51" s="387">
        <f t="shared" si="68"/>
        <v>0</v>
      </c>
      <c r="CH51" s="387">
        <f t="shared" si="69"/>
        <v>18.183359999999993</v>
      </c>
      <c r="CI51" s="387">
        <f t="shared" si="70"/>
        <v>0</v>
      </c>
      <c r="CJ51" s="387">
        <f t="shared" si="39"/>
        <v>-442.46176000000054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0229-00</v>
      </c>
    </row>
    <row r="52" spans="1:92" ht="15.75" thickBot="1" x14ac:dyDescent="0.3">
      <c r="A52" s="377" t="s">
        <v>162</v>
      </c>
      <c r="B52" s="377" t="s">
        <v>163</v>
      </c>
      <c r="C52" s="377" t="s">
        <v>443</v>
      </c>
      <c r="D52" s="377" t="s">
        <v>430</v>
      </c>
      <c r="E52" s="377" t="s">
        <v>166</v>
      </c>
      <c r="F52" s="378" t="s">
        <v>167</v>
      </c>
      <c r="G52" s="377" t="s">
        <v>168</v>
      </c>
      <c r="H52" s="379"/>
      <c r="I52" s="379"/>
      <c r="J52" s="377" t="s">
        <v>186</v>
      </c>
      <c r="K52" s="377" t="s">
        <v>432</v>
      </c>
      <c r="L52" s="377" t="s">
        <v>167</v>
      </c>
      <c r="M52" s="377" t="s">
        <v>187</v>
      </c>
      <c r="N52" s="377" t="s">
        <v>433</v>
      </c>
      <c r="O52" s="380">
        <v>0</v>
      </c>
      <c r="P52" s="385">
        <v>1</v>
      </c>
      <c r="Q52" s="385">
        <v>0</v>
      </c>
      <c r="R52" s="381">
        <v>0</v>
      </c>
      <c r="S52" s="385">
        <v>0</v>
      </c>
      <c r="T52" s="381">
        <v>0</v>
      </c>
      <c r="U52" s="381">
        <v>0</v>
      </c>
      <c r="V52" s="381">
        <v>0</v>
      </c>
      <c r="W52" s="381">
        <v>0</v>
      </c>
      <c r="X52" s="381">
        <v>0</v>
      </c>
      <c r="Y52" s="381">
        <v>0</v>
      </c>
      <c r="Z52" s="381">
        <v>0</v>
      </c>
      <c r="AA52" s="379"/>
      <c r="AB52" s="377" t="s">
        <v>45</v>
      </c>
      <c r="AC52" s="377" t="s">
        <v>45</v>
      </c>
      <c r="AD52" s="379"/>
      <c r="AE52" s="379"/>
      <c r="AF52" s="379"/>
      <c r="AG52" s="379"/>
      <c r="AH52" s="380">
        <v>0</v>
      </c>
      <c r="AI52" s="380">
        <v>0</v>
      </c>
      <c r="AJ52" s="379"/>
      <c r="AK52" s="379"/>
      <c r="AL52" s="377" t="s">
        <v>182</v>
      </c>
      <c r="AM52" s="379"/>
      <c r="AN52" s="379"/>
      <c r="AO52" s="380">
        <v>0</v>
      </c>
      <c r="AP52" s="385">
        <v>0</v>
      </c>
      <c r="AQ52" s="385">
        <v>0</v>
      </c>
      <c r="AR52" s="384"/>
      <c r="AS52" s="387">
        <f t="shared" si="27"/>
        <v>0</v>
      </c>
      <c r="AT52">
        <f t="shared" si="28"/>
        <v>0</v>
      </c>
      <c r="AU52" s="387" t="str">
        <f>IF(AT52=0,"",IF(AND(AT52=1,M52="F",SUMIF(C2:C76,C52,AS2:AS76)&lt;=1),SUMIF(C2:C76,C52,AS2:AS76),IF(AND(AT52=1,M52="F",SUMIF(C2:C76,C52,AS2:AS76)&gt;1),1,"")))</f>
        <v/>
      </c>
      <c r="AV52" s="387" t="str">
        <f>IF(AT52=0,"",IF(AND(AT52=3,M52="F",SUMIF(C2:C76,C52,AS2:AS76)&lt;=1),SUMIF(C2:C76,C52,AS2:AS76),IF(AND(AT52=3,M52="F",SUMIF(C2:C76,C52,AS2:AS76)&gt;1),1,"")))</f>
        <v/>
      </c>
      <c r="AW52" s="387">
        <f>SUMIF(C2:C76,C52,O2:O76)</f>
        <v>0</v>
      </c>
      <c r="AX52" s="387">
        <f>IF(AND(M52="F",AS52&lt;&gt;0),SUMIF(C2:C76,C52,W2:W76),0)</f>
        <v>0</v>
      </c>
      <c r="AY52" s="387" t="str">
        <f t="shared" si="29"/>
        <v/>
      </c>
      <c r="AZ52" s="387" t="str">
        <f t="shared" si="30"/>
        <v/>
      </c>
      <c r="BA52" s="387">
        <f t="shared" si="31"/>
        <v>0</v>
      </c>
      <c r="BB52" s="387">
        <f t="shared" si="44"/>
        <v>0</v>
      </c>
      <c r="BC52" s="387">
        <f t="shared" si="45"/>
        <v>0</v>
      </c>
      <c r="BD52" s="387">
        <f t="shared" si="46"/>
        <v>0</v>
      </c>
      <c r="BE52" s="387">
        <f t="shared" si="47"/>
        <v>0</v>
      </c>
      <c r="BF52" s="387">
        <f t="shared" si="48"/>
        <v>0</v>
      </c>
      <c r="BG52" s="387">
        <f t="shared" si="49"/>
        <v>0</v>
      </c>
      <c r="BH52" s="387">
        <f t="shared" si="50"/>
        <v>0</v>
      </c>
      <c r="BI52" s="387">
        <f t="shared" si="51"/>
        <v>0</v>
      </c>
      <c r="BJ52" s="387">
        <f t="shared" si="52"/>
        <v>0</v>
      </c>
      <c r="BK52" s="387">
        <f t="shared" si="53"/>
        <v>0</v>
      </c>
      <c r="BL52" s="387">
        <f t="shared" si="32"/>
        <v>0</v>
      </c>
      <c r="BM52" s="387">
        <f t="shared" si="33"/>
        <v>0</v>
      </c>
      <c r="BN52" s="387">
        <f t="shared" si="54"/>
        <v>0</v>
      </c>
      <c r="BO52" s="387">
        <f t="shared" si="55"/>
        <v>0</v>
      </c>
      <c r="BP52" s="387">
        <f t="shared" si="56"/>
        <v>0</v>
      </c>
      <c r="BQ52" s="387">
        <f t="shared" si="57"/>
        <v>0</v>
      </c>
      <c r="BR52" s="387">
        <f t="shared" si="58"/>
        <v>0</v>
      </c>
      <c r="BS52" s="387">
        <f t="shared" si="59"/>
        <v>0</v>
      </c>
      <c r="BT52" s="387">
        <f t="shared" si="60"/>
        <v>0</v>
      </c>
      <c r="BU52" s="387">
        <f t="shared" si="61"/>
        <v>0</v>
      </c>
      <c r="BV52" s="387">
        <f t="shared" si="62"/>
        <v>0</v>
      </c>
      <c r="BW52" s="387">
        <f t="shared" si="63"/>
        <v>0</v>
      </c>
      <c r="BX52" s="387">
        <f t="shared" si="34"/>
        <v>0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0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0</v>
      </c>
      <c r="CI52" s="387">
        <f t="shared" si="70"/>
        <v>0</v>
      </c>
      <c r="CJ52" s="387">
        <f t="shared" si="39"/>
        <v>0</v>
      </c>
      <c r="CK52" s="387" t="str">
        <f t="shared" si="40"/>
        <v/>
      </c>
      <c r="CL52" s="387">
        <f t="shared" si="41"/>
        <v>0</v>
      </c>
      <c r="CM52" s="387">
        <f t="shared" si="42"/>
        <v>0</v>
      </c>
      <c r="CN52" s="387" t="str">
        <f t="shared" si="43"/>
        <v>0229-00</v>
      </c>
    </row>
    <row r="53" spans="1:92" ht="15.75" thickBot="1" x14ac:dyDescent="0.3">
      <c r="A53" s="377" t="s">
        <v>162</v>
      </c>
      <c r="B53" s="377" t="s">
        <v>163</v>
      </c>
      <c r="C53" s="377" t="s">
        <v>444</v>
      </c>
      <c r="D53" s="377" t="s">
        <v>189</v>
      </c>
      <c r="E53" s="377" t="s">
        <v>166</v>
      </c>
      <c r="F53" s="378" t="s">
        <v>167</v>
      </c>
      <c r="G53" s="377" t="s">
        <v>168</v>
      </c>
      <c r="H53" s="379"/>
      <c r="I53" s="379"/>
      <c r="J53" s="377" t="s">
        <v>186</v>
      </c>
      <c r="K53" s="377" t="s">
        <v>198</v>
      </c>
      <c r="L53" s="377" t="s">
        <v>199</v>
      </c>
      <c r="M53" s="377" t="s">
        <v>172</v>
      </c>
      <c r="N53" s="377" t="s">
        <v>173</v>
      </c>
      <c r="O53" s="380">
        <v>1</v>
      </c>
      <c r="P53" s="385">
        <v>1</v>
      </c>
      <c r="Q53" s="385">
        <v>1</v>
      </c>
      <c r="R53" s="381">
        <v>80</v>
      </c>
      <c r="S53" s="385">
        <v>1</v>
      </c>
      <c r="T53" s="381">
        <v>102541.24</v>
      </c>
      <c r="U53" s="381">
        <v>0</v>
      </c>
      <c r="V53" s="381">
        <v>32873.32</v>
      </c>
      <c r="W53" s="381">
        <v>107140.8</v>
      </c>
      <c r="X53" s="381">
        <v>34962.050000000003</v>
      </c>
      <c r="Y53" s="381">
        <v>107140.8</v>
      </c>
      <c r="Z53" s="381">
        <v>35429.919999999998</v>
      </c>
      <c r="AA53" s="377" t="s">
        <v>445</v>
      </c>
      <c r="AB53" s="377" t="s">
        <v>446</v>
      </c>
      <c r="AC53" s="377" t="s">
        <v>447</v>
      </c>
      <c r="AD53" s="377" t="s">
        <v>262</v>
      </c>
      <c r="AE53" s="377" t="s">
        <v>198</v>
      </c>
      <c r="AF53" s="377" t="s">
        <v>204</v>
      </c>
      <c r="AG53" s="377" t="s">
        <v>179</v>
      </c>
      <c r="AH53" s="382">
        <v>51.51</v>
      </c>
      <c r="AI53" s="382">
        <v>35553.300000000003</v>
      </c>
      <c r="AJ53" s="377" t="s">
        <v>180</v>
      </c>
      <c r="AK53" s="377" t="s">
        <v>181</v>
      </c>
      <c r="AL53" s="377" t="s">
        <v>182</v>
      </c>
      <c r="AM53" s="377" t="s">
        <v>183</v>
      </c>
      <c r="AN53" s="377" t="s">
        <v>66</v>
      </c>
      <c r="AO53" s="380">
        <v>80</v>
      </c>
      <c r="AP53" s="385">
        <v>1</v>
      </c>
      <c r="AQ53" s="385">
        <v>1</v>
      </c>
      <c r="AR53" s="383" t="s">
        <v>184</v>
      </c>
      <c r="AS53" s="387">
        <f t="shared" si="27"/>
        <v>1</v>
      </c>
      <c r="AT53">
        <f t="shared" si="28"/>
        <v>1</v>
      </c>
      <c r="AU53" s="387">
        <f>IF(AT53=0,"",IF(AND(AT53=1,M53="F",SUMIF(C2:C76,C53,AS2:AS76)&lt;=1),SUMIF(C2:C76,C53,AS2:AS76),IF(AND(AT53=1,M53="F",SUMIF(C2:C76,C53,AS2:AS76)&gt;1),1,"")))</f>
        <v>1</v>
      </c>
      <c r="AV53" s="387" t="str">
        <f>IF(AT53=0,"",IF(AND(AT53=3,M53="F",SUMIF(C2:C76,C53,AS2:AS76)&lt;=1),SUMIF(C2:C76,C53,AS2:AS76),IF(AND(AT53=3,M53="F",SUMIF(C2:C76,C53,AS2:AS76)&gt;1),1,"")))</f>
        <v/>
      </c>
      <c r="AW53" s="387">
        <f>SUMIF(C2:C76,C53,O2:O76)</f>
        <v>1</v>
      </c>
      <c r="AX53" s="387">
        <f>IF(AND(M53="F",AS53&lt;&gt;0),SUMIF(C2:C76,C53,W2:W76),0)</f>
        <v>107140.8</v>
      </c>
      <c r="AY53" s="387">
        <f t="shared" si="29"/>
        <v>107140.8</v>
      </c>
      <c r="AZ53" s="387" t="str">
        <f t="shared" si="30"/>
        <v/>
      </c>
      <c r="BA53" s="387">
        <f t="shared" si="31"/>
        <v>0</v>
      </c>
      <c r="BB53" s="387">
        <f t="shared" si="44"/>
        <v>12500</v>
      </c>
      <c r="BC53" s="387">
        <f t="shared" si="45"/>
        <v>0</v>
      </c>
      <c r="BD53" s="387">
        <f t="shared" si="46"/>
        <v>6642.7296000000006</v>
      </c>
      <c r="BE53" s="387">
        <f t="shared" si="47"/>
        <v>1553.5416</v>
      </c>
      <c r="BF53" s="387">
        <f t="shared" si="48"/>
        <v>12792.61152</v>
      </c>
      <c r="BG53" s="387">
        <f t="shared" si="49"/>
        <v>772.48516800000004</v>
      </c>
      <c r="BH53" s="387">
        <f t="shared" si="50"/>
        <v>0</v>
      </c>
      <c r="BI53" s="387">
        <f t="shared" si="51"/>
        <v>593.02432799999997</v>
      </c>
      <c r="BJ53" s="387">
        <f t="shared" si="52"/>
        <v>107.1408</v>
      </c>
      <c r="BK53" s="387">
        <f t="shared" si="53"/>
        <v>0</v>
      </c>
      <c r="BL53" s="387">
        <f t="shared" si="32"/>
        <v>22461.533016000001</v>
      </c>
      <c r="BM53" s="387">
        <f t="shared" si="33"/>
        <v>0</v>
      </c>
      <c r="BN53" s="387">
        <f t="shared" si="54"/>
        <v>13750</v>
      </c>
      <c r="BO53" s="387">
        <f t="shared" si="55"/>
        <v>0</v>
      </c>
      <c r="BP53" s="387">
        <f t="shared" si="56"/>
        <v>6642.7296000000006</v>
      </c>
      <c r="BQ53" s="387">
        <f t="shared" si="57"/>
        <v>1553.5416</v>
      </c>
      <c r="BR53" s="387">
        <f t="shared" si="58"/>
        <v>11978.34144</v>
      </c>
      <c r="BS53" s="387">
        <f t="shared" si="59"/>
        <v>772.48516800000004</v>
      </c>
      <c r="BT53" s="387">
        <f t="shared" si="60"/>
        <v>0</v>
      </c>
      <c r="BU53" s="387">
        <f t="shared" si="61"/>
        <v>593.02432799999997</v>
      </c>
      <c r="BV53" s="387">
        <f t="shared" si="62"/>
        <v>139.28304</v>
      </c>
      <c r="BW53" s="387">
        <f t="shared" si="63"/>
        <v>0</v>
      </c>
      <c r="BX53" s="387">
        <f t="shared" si="34"/>
        <v>21679.405175999997</v>
      </c>
      <c r="BY53" s="387">
        <f t="shared" si="35"/>
        <v>0</v>
      </c>
      <c r="BZ53" s="387">
        <f t="shared" si="36"/>
        <v>1250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-814.27008000000103</v>
      </c>
      <c r="CE53" s="387">
        <f t="shared" si="66"/>
        <v>0</v>
      </c>
      <c r="CF53" s="387">
        <f t="shared" si="67"/>
        <v>0</v>
      </c>
      <c r="CG53" s="387">
        <f t="shared" si="68"/>
        <v>0</v>
      </c>
      <c r="CH53" s="387">
        <f t="shared" si="69"/>
        <v>32.142239999999994</v>
      </c>
      <c r="CI53" s="387">
        <f t="shared" si="70"/>
        <v>0</v>
      </c>
      <c r="CJ53" s="387">
        <f t="shared" si="39"/>
        <v>-782.12784000000102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0229-00</v>
      </c>
    </row>
    <row r="54" spans="1:92" ht="15.75" thickBot="1" x14ac:dyDescent="0.3">
      <c r="A54" s="377" t="s">
        <v>162</v>
      </c>
      <c r="B54" s="377" t="s">
        <v>163</v>
      </c>
      <c r="C54" s="377" t="s">
        <v>448</v>
      </c>
      <c r="D54" s="377" t="s">
        <v>165</v>
      </c>
      <c r="E54" s="377" t="s">
        <v>166</v>
      </c>
      <c r="F54" s="378" t="s">
        <v>167</v>
      </c>
      <c r="G54" s="377" t="s">
        <v>168</v>
      </c>
      <c r="H54" s="379"/>
      <c r="I54" s="379"/>
      <c r="J54" s="377" t="s">
        <v>186</v>
      </c>
      <c r="K54" s="377" t="s">
        <v>214</v>
      </c>
      <c r="L54" s="377" t="s">
        <v>191</v>
      </c>
      <c r="M54" s="377" t="s">
        <v>172</v>
      </c>
      <c r="N54" s="377" t="s">
        <v>173</v>
      </c>
      <c r="O54" s="380">
        <v>1</v>
      </c>
      <c r="P54" s="385">
        <v>1</v>
      </c>
      <c r="Q54" s="385">
        <v>1</v>
      </c>
      <c r="R54" s="381">
        <v>80</v>
      </c>
      <c r="S54" s="385">
        <v>1</v>
      </c>
      <c r="T54" s="381">
        <v>97716.800000000003</v>
      </c>
      <c r="U54" s="381">
        <v>0</v>
      </c>
      <c r="V54" s="381">
        <v>32453</v>
      </c>
      <c r="W54" s="381">
        <v>97468.800000000003</v>
      </c>
      <c r="X54" s="381">
        <v>32934.300000000003</v>
      </c>
      <c r="Y54" s="381">
        <v>97468.800000000003</v>
      </c>
      <c r="Z54" s="381">
        <v>33472.78</v>
      </c>
      <c r="AA54" s="377" t="s">
        <v>449</v>
      </c>
      <c r="AB54" s="377" t="s">
        <v>450</v>
      </c>
      <c r="AC54" s="377" t="s">
        <v>451</v>
      </c>
      <c r="AD54" s="377" t="s">
        <v>262</v>
      </c>
      <c r="AE54" s="377" t="s">
        <v>214</v>
      </c>
      <c r="AF54" s="377" t="s">
        <v>196</v>
      </c>
      <c r="AG54" s="377" t="s">
        <v>179</v>
      </c>
      <c r="AH54" s="382">
        <v>46.86</v>
      </c>
      <c r="AI54" s="380">
        <v>50644</v>
      </c>
      <c r="AJ54" s="377" t="s">
        <v>180</v>
      </c>
      <c r="AK54" s="377" t="s">
        <v>181</v>
      </c>
      <c r="AL54" s="377" t="s">
        <v>182</v>
      </c>
      <c r="AM54" s="377" t="s">
        <v>183</v>
      </c>
      <c r="AN54" s="377" t="s">
        <v>66</v>
      </c>
      <c r="AO54" s="380">
        <v>80</v>
      </c>
      <c r="AP54" s="385">
        <v>1</v>
      </c>
      <c r="AQ54" s="385">
        <v>1</v>
      </c>
      <c r="AR54" s="383" t="s">
        <v>184</v>
      </c>
      <c r="AS54" s="387">
        <f t="shared" si="27"/>
        <v>1</v>
      </c>
      <c r="AT54">
        <f t="shared" si="28"/>
        <v>1</v>
      </c>
      <c r="AU54" s="387">
        <f>IF(AT54=0,"",IF(AND(AT54=1,M54="F",SUMIF(C2:C76,C54,AS2:AS76)&lt;=1),SUMIF(C2:C76,C54,AS2:AS76),IF(AND(AT54=1,M54="F",SUMIF(C2:C76,C54,AS2:AS76)&gt;1),1,"")))</f>
        <v>1</v>
      </c>
      <c r="AV54" s="387" t="str">
        <f>IF(AT54=0,"",IF(AND(AT54=3,M54="F",SUMIF(C2:C76,C54,AS2:AS76)&lt;=1),SUMIF(C2:C76,C54,AS2:AS76),IF(AND(AT54=3,M54="F",SUMIF(C2:C76,C54,AS2:AS76)&gt;1),1,"")))</f>
        <v/>
      </c>
      <c r="AW54" s="387">
        <f>SUMIF(C2:C76,C54,O2:O76)</f>
        <v>1</v>
      </c>
      <c r="AX54" s="387">
        <f>IF(AND(M54="F",AS54&lt;&gt;0),SUMIF(C2:C76,C54,W2:W76),0)</f>
        <v>97468.800000000003</v>
      </c>
      <c r="AY54" s="387">
        <f t="shared" si="29"/>
        <v>97468.800000000003</v>
      </c>
      <c r="AZ54" s="387" t="str">
        <f t="shared" si="30"/>
        <v/>
      </c>
      <c r="BA54" s="387">
        <f t="shared" si="31"/>
        <v>0</v>
      </c>
      <c r="BB54" s="387">
        <f t="shared" si="44"/>
        <v>12500</v>
      </c>
      <c r="BC54" s="387">
        <f t="shared" si="45"/>
        <v>0</v>
      </c>
      <c r="BD54" s="387">
        <f t="shared" si="46"/>
        <v>6043.0655999999999</v>
      </c>
      <c r="BE54" s="387">
        <f t="shared" si="47"/>
        <v>1413.2976000000001</v>
      </c>
      <c r="BF54" s="387">
        <f t="shared" si="48"/>
        <v>11637.774720000001</v>
      </c>
      <c r="BG54" s="387">
        <f t="shared" si="49"/>
        <v>702.75004799999999</v>
      </c>
      <c r="BH54" s="387">
        <f t="shared" si="50"/>
        <v>0</v>
      </c>
      <c r="BI54" s="387">
        <f t="shared" si="51"/>
        <v>539.48980800000004</v>
      </c>
      <c r="BJ54" s="387">
        <f t="shared" si="52"/>
        <v>97.468800000000002</v>
      </c>
      <c r="BK54" s="387">
        <f t="shared" si="53"/>
        <v>0</v>
      </c>
      <c r="BL54" s="387">
        <f t="shared" si="32"/>
        <v>20433.846576</v>
      </c>
      <c r="BM54" s="387">
        <f t="shared" si="33"/>
        <v>0</v>
      </c>
      <c r="BN54" s="387">
        <f t="shared" si="54"/>
        <v>13750</v>
      </c>
      <c r="BO54" s="387">
        <f t="shared" si="55"/>
        <v>0</v>
      </c>
      <c r="BP54" s="387">
        <f t="shared" si="56"/>
        <v>6043.0655999999999</v>
      </c>
      <c r="BQ54" s="387">
        <f t="shared" si="57"/>
        <v>1413.2976000000001</v>
      </c>
      <c r="BR54" s="387">
        <f t="shared" si="58"/>
        <v>10897.011839999999</v>
      </c>
      <c r="BS54" s="387">
        <f t="shared" si="59"/>
        <v>702.75004799999999</v>
      </c>
      <c r="BT54" s="387">
        <f t="shared" si="60"/>
        <v>0</v>
      </c>
      <c r="BU54" s="387">
        <f t="shared" si="61"/>
        <v>539.48980800000004</v>
      </c>
      <c r="BV54" s="387">
        <f t="shared" si="62"/>
        <v>126.70944</v>
      </c>
      <c r="BW54" s="387">
        <f t="shared" si="63"/>
        <v>0</v>
      </c>
      <c r="BX54" s="387">
        <f t="shared" si="34"/>
        <v>19722.324335999998</v>
      </c>
      <c r="BY54" s="387">
        <f t="shared" si="35"/>
        <v>0</v>
      </c>
      <c r="BZ54" s="387">
        <f t="shared" si="36"/>
        <v>1250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-740.76288000000091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29.240639999999992</v>
      </c>
      <c r="CI54" s="387">
        <f t="shared" si="70"/>
        <v>0</v>
      </c>
      <c r="CJ54" s="387">
        <f t="shared" si="39"/>
        <v>-711.52224000000092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0229-00</v>
      </c>
    </row>
    <row r="55" spans="1:92" ht="15.75" thickBot="1" x14ac:dyDescent="0.3">
      <c r="A55" s="377" t="s">
        <v>162</v>
      </c>
      <c r="B55" s="377" t="s">
        <v>163</v>
      </c>
      <c r="C55" s="377" t="s">
        <v>452</v>
      </c>
      <c r="D55" s="377" t="s">
        <v>430</v>
      </c>
      <c r="E55" s="377" t="s">
        <v>166</v>
      </c>
      <c r="F55" s="378" t="s">
        <v>167</v>
      </c>
      <c r="G55" s="377" t="s">
        <v>168</v>
      </c>
      <c r="H55" s="379"/>
      <c r="I55" s="379"/>
      <c r="J55" s="377" t="s">
        <v>431</v>
      </c>
      <c r="K55" s="377" t="s">
        <v>432</v>
      </c>
      <c r="L55" s="377" t="s">
        <v>167</v>
      </c>
      <c r="M55" s="377" t="s">
        <v>187</v>
      </c>
      <c r="N55" s="377" t="s">
        <v>433</v>
      </c>
      <c r="O55" s="380">
        <v>0</v>
      </c>
      <c r="P55" s="385">
        <v>1</v>
      </c>
      <c r="Q55" s="385">
        <v>0</v>
      </c>
      <c r="R55" s="381">
        <v>0</v>
      </c>
      <c r="S55" s="385">
        <v>0</v>
      </c>
      <c r="T55" s="381">
        <v>4620</v>
      </c>
      <c r="U55" s="381">
        <v>0</v>
      </c>
      <c r="V55" s="381">
        <v>393.87</v>
      </c>
      <c r="W55" s="381">
        <v>4620</v>
      </c>
      <c r="X55" s="381">
        <v>393.86</v>
      </c>
      <c r="Y55" s="381">
        <v>4620</v>
      </c>
      <c r="Z55" s="381">
        <v>393.86</v>
      </c>
      <c r="AA55" s="379"/>
      <c r="AB55" s="377" t="s">
        <v>45</v>
      </c>
      <c r="AC55" s="377" t="s">
        <v>45</v>
      </c>
      <c r="AD55" s="379"/>
      <c r="AE55" s="379"/>
      <c r="AF55" s="379"/>
      <c r="AG55" s="379"/>
      <c r="AH55" s="380">
        <v>0</v>
      </c>
      <c r="AI55" s="380">
        <v>0</v>
      </c>
      <c r="AJ55" s="379"/>
      <c r="AK55" s="379"/>
      <c r="AL55" s="377" t="s">
        <v>182</v>
      </c>
      <c r="AM55" s="379"/>
      <c r="AN55" s="379"/>
      <c r="AO55" s="380">
        <v>0</v>
      </c>
      <c r="AP55" s="385">
        <v>0</v>
      </c>
      <c r="AQ55" s="385">
        <v>0</v>
      </c>
      <c r="AR55" s="384"/>
      <c r="AS55" s="387">
        <f t="shared" si="27"/>
        <v>0</v>
      </c>
      <c r="AT55">
        <f t="shared" si="28"/>
        <v>0</v>
      </c>
      <c r="AU55" s="387" t="str">
        <f>IF(AT55=0,"",IF(AND(AT55=1,M55="F",SUMIF(C2:C76,C55,AS2:AS76)&lt;=1),SUMIF(C2:C76,C55,AS2:AS76),IF(AND(AT55=1,M55="F",SUMIF(C2:C76,C55,AS2:AS76)&gt;1),1,"")))</f>
        <v/>
      </c>
      <c r="AV55" s="387" t="str">
        <f>IF(AT55=0,"",IF(AND(AT55=3,M55="F",SUMIF(C2:C76,C55,AS2:AS76)&lt;=1),SUMIF(C2:C76,C55,AS2:AS76),IF(AND(AT55=3,M55="F",SUMIF(C2:C76,C55,AS2:AS76)&gt;1),1,"")))</f>
        <v/>
      </c>
      <c r="AW55" s="387">
        <f>SUMIF(C2:C76,C55,O2:O76)</f>
        <v>0</v>
      </c>
      <c r="AX55" s="387">
        <f>IF(AND(M55="F",AS55&lt;&gt;0),SUMIF(C2:C76,C55,W2:W76),0)</f>
        <v>0</v>
      </c>
      <c r="AY55" s="387" t="str">
        <f t="shared" si="29"/>
        <v/>
      </c>
      <c r="AZ55" s="387" t="str">
        <f t="shared" si="30"/>
        <v/>
      </c>
      <c r="BA55" s="387">
        <f t="shared" si="31"/>
        <v>0</v>
      </c>
      <c r="BB55" s="387">
        <f t="shared" si="44"/>
        <v>0</v>
      </c>
      <c r="BC55" s="387">
        <f t="shared" si="45"/>
        <v>0</v>
      </c>
      <c r="BD55" s="387">
        <f t="shared" si="46"/>
        <v>0</v>
      </c>
      <c r="BE55" s="387">
        <f t="shared" si="47"/>
        <v>0</v>
      </c>
      <c r="BF55" s="387">
        <f t="shared" si="48"/>
        <v>0</v>
      </c>
      <c r="BG55" s="387">
        <f t="shared" si="49"/>
        <v>0</v>
      </c>
      <c r="BH55" s="387">
        <f t="shared" si="50"/>
        <v>0</v>
      </c>
      <c r="BI55" s="387">
        <f t="shared" si="51"/>
        <v>0</v>
      </c>
      <c r="BJ55" s="387">
        <f t="shared" si="52"/>
        <v>0</v>
      </c>
      <c r="BK55" s="387">
        <f t="shared" si="53"/>
        <v>0</v>
      </c>
      <c r="BL55" s="387">
        <f t="shared" si="32"/>
        <v>0</v>
      </c>
      <c r="BM55" s="387">
        <f t="shared" si="33"/>
        <v>0</v>
      </c>
      <c r="BN55" s="387">
        <f t="shared" si="54"/>
        <v>0</v>
      </c>
      <c r="BO55" s="387">
        <f t="shared" si="55"/>
        <v>0</v>
      </c>
      <c r="BP55" s="387">
        <f t="shared" si="56"/>
        <v>0</v>
      </c>
      <c r="BQ55" s="387">
        <f t="shared" si="57"/>
        <v>0</v>
      </c>
      <c r="BR55" s="387">
        <f t="shared" si="58"/>
        <v>0</v>
      </c>
      <c r="BS55" s="387">
        <f t="shared" si="59"/>
        <v>0</v>
      </c>
      <c r="BT55" s="387">
        <f t="shared" si="60"/>
        <v>0</v>
      </c>
      <c r="BU55" s="387">
        <f t="shared" si="61"/>
        <v>0</v>
      </c>
      <c r="BV55" s="387">
        <f t="shared" si="62"/>
        <v>0</v>
      </c>
      <c r="BW55" s="387">
        <f t="shared" si="63"/>
        <v>0</v>
      </c>
      <c r="BX55" s="387">
        <f t="shared" si="34"/>
        <v>0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0</v>
      </c>
      <c r="CE55" s="387">
        <f t="shared" si="66"/>
        <v>0</v>
      </c>
      <c r="CF55" s="387">
        <f t="shared" si="67"/>
        <v>0</v>
      </c>
      <c r="CG55" s="387">
        <f t="shared" si="68"/>
        <v>0</v>
      </c>
      <c r="CH55" s="387">
        <f t="shared" si="69"/>
        <v>0</v>
      </c>
      <c r="CI55" s="387">
        <f t="shared" si="70"/>
        <v>0</v>
      </c>
      <c r="CJ55" s="387">
        <f t="shared" si="39"/>
        <v>0</v>
      </c>
      <c r="CK55" s="387" t="str">
        <f t="shared" si="40"/>
        <v/>
      </c>
      <c r="CL55" s="387">
        <f t="shared" si="41"/>
        <v>4620</v>
      </c>
      <c r="CM55" s="387">
        <f t="shared" si="42"/>
        <v>393.87</v>
      </c>
      <c r="CN55" s="387" t="str">
        <f t="shared" si="43"/>
        <v>0229-00</v>
      </c>
    </row>
    <row r="56" spans="1:92" ht="15.75" thickBot="1" x14ac:dyDescent="0.3">
      <c r="A56" s="377" t="s">
        <v>162</v>
      </c>
      <c r="B56" s="377" t="s">
        <v>163</v>
      </c>
      <c r="C56" s="377" t="s">
        <v>453</v>
      </c>
      <c r="D56" s="377" t="s">
        <v>454</v>
      </c>
      <c r="E56" s="377" t="s">
        <v>166</v>
      </c>
      <c r="F56" s="378" t="s">
        <v>167</v>
      </c>
      <c r="G56" s="377" t="s">
        <v>168</v>
      </c>
      <c r="H56" s="379"/>
      <c r="I56" s="379"/>
      <c r="J56" s="377" t="s">
        <v>186</v>
      </c>
      <c r="K56" s="377" t="s">
        <v>455</v>
      </c>
      <c r="L56" s="377" t="s">
        <v>257</v>
      </c>
      <c r="M56" s="377" t="s">
        <v>172</v>
      </c>
      <c r="N56" s="377" t="s">
        <v>173</v>
      </c>
      <c r="O56" s="380">
        <v>1</v>
      </c>
      <c r="P56" s="385">
        <v>1</v>
      </c>
      <c r="Q56" s="385">
        <v>1</v>
      </c>
      <c r="R56" s="381">
        <v>80</v>
      </c>
      <c r="S56" s="385">
        <v>1</v>
      </c>
      <c r="T56" s="381">
        <v>64223.27</v>
      </c>
      <c r="U56" s="381">
        <v>0</v>
      </c>
      <c r="V56" s="381">
        <v>25252.25</v>
      </c>
      <c r="W56" s="381">
        <v>68286.399999999994</v>
      </c>
      <c r="X56" s="381">
        <v>26816.21</v>
      </c>
      <c r="Y56" s="381">
        <v>68286.399999999994</v>
      </c>
      <c r="Z56" s="381">
        <v>27567.72</v>
      </c>
      <c r="AA56" s="377" t="s">
        <v>456</v>
      </c>
      <c r="AB56" s="377" t="s">
        <v>457</v>
      </c>
      <c r="AC56" s="377" t="s">
        <v>458</v>
      </c>
      <c r="AD56" s="377" t="s">
        <v>237</v>
      </c>
      <c r="AE56" s="377" t="s">
        <v>455</v>
      </c>
      <c r="AF56" s="377" t="s">
        <v>411</v>
      </c>
      <c r="AG56" s="377" t="s">
        <v>179</v>
      </c>
      <c r="AH56" s="382">
        <v>32.83</v>
      </c>
      <c r="AI56" s="382">
        <v>52856.3</v>
      </c>
      <c r="AJ56" s="377" t="s">
        <v>180</v>
      </c>
      <c r="AK56" s="377" t="s">
        <v>181</v>
      </c>
      <c r="AL56" s="377" t="s">
        <v>182</v>
      </c>
      <c r="AM56" s="377" t="s">
        <v>183</v>
      </c>
      <c r="AN56" s="377" t="s">
        <v>66</v>
      </c>
      <c r="AO56" s="380">
        <v>80</v>
      </c>
      <c r="AP56" s="385">
        <v>1</v>
      </c>
      <c r="AQ56" s="385">
        <v>1</v>
      </c>
      <c r="AR56" s="383" t="s">
        <v>184</v>
      </c>
      <c r="AS56" s="387">
        <f t="shared" si="27"/>
        <v>1</v>
      </c>
      <c r="AT56">
        <f t="shared" si="28"/>
        <v>1</v>
      </c>
      <c r="AU56" s="387">
        <f>IF(AT56=0,"",IF(AND(AT56=1,M56="F",SUMIF(C2:C76,C56,AS2:AS76)&lt;=1),SUMIF(C2:C76,C56,AS2:AS76),IF(AND(AT56=1,M56="F",SUMIF(C2:C76,C56,AS2:AS76)&gt;1),1,"")))</f>
        <v>1</v>
      </c>
      <c r="AV56" s="387" t="str">
        <f>IF(AT56=0,"",IF(AND(AT56=3,M56="F",SUMIF(C2:C76,C56,AS2:AS76)&lt;=1),SUMIF(C2:C76,C56,AS2:AS76),IF(AND(AT56=3,M56="F",SUMIF(C2:C76,C56,AS2:AS76)&gt;1),1,"")))</f>
        <v/>
      </c>
      <c r="AW56" s="387">
        <f>SUMIF(C2:C76,C56,O2:O76)</f>
        <v>1</v>
      </c>
      <c r="AX56" s="387">
        <f>IF(AND(M56="F",AS56&lt;&gt;0),SUMIF(C2:C76,C56,W2:W76),0)</f>
        <v>68286.399999999994</v>
      </c>
      <c r="AY56" s="387">
        <f t="shared" si="29"/>
        <v>68286.399999999994</v>
      </c>
      <c r="AZ56" s="387" t="str">
        <f t="shared" si="30"/>
        <v/>
      </c>
      <c r="BA56" s="387">
        <f t="shared" si="31"/>
        <v>0</v>
      </c>
      <c r="BB56" s="387">
        <f t="shared" si="44"/>
        <v>12500</v>
      </c>
      <c r="BC56" s="387">
        <f t="shared" si="45"/>
        <v>0</v>
      </c>
      <c r="BD56" s="387">
        <f t="shared" si="46"/>
        <v>4233.7567999999992</v>
      </c>
      <c r="BE56" s="387">
        <f t="shared" si="47"/>
        <v>990.15279999999996</v>
      </c>
      <c r="BF56" s="387">
        <f t="shared" si="48"/>
        <v>8153.3961599999993</v>
      </c>
      <c r="BG56" s="387">
        <f t="shared" si="49"/>
        <v>492.344944</v>
      </c>
      <c r="BH56" s="387">
        <f t="shared" si="50"/>
        <v>0</v>
      </c>
      <c r="BI56" s="387">
        <f t="shared" si="51"/>
        <v>377.96522399999998</v>
      </c>
      <c r="BJ56" s="387">
        <f t="shared" si="52"/>
        <v>68.2864</v>
      </c>
      <c r="BK56" s="387">
        <f t="shared" si="53"/>
        <v>0</v>
      </c>
      <c r="BL56" s="387">
        <f t="shared" si="32"/>
        <v>14315.902328</v>
      </c>
      <c r="BM56" s="387">
        <f t="shared" si="33"/>
        <v>0</v>
      </c>
      <c r="BN56" s="387">
        <f t="shared" si="54"/>
        <v>13750</v>
      </c>
      <c r="BO56" s="387">
        <f t="shared" si="55"/>
        <v>0</v>
      </c>
      <c r="BP56" s="387">
        <f t="shared" si="56"/>
        <v>4233.7567999999992</v>
      </c>
      <c r="BQ56" s="387">
        <f t="shared" si="57"/>
        <v>990.15279999999996</v>
      </c>
      <c r="BR56" s="387">
        <f t="shared" si="58"/>
        <v>7634.4195199999995</v>
      </c>
      <c r="BS56" s="387">
        <f t="shared" si="59"/>
        <v>492.344944</v>
      </c>
      <c r="BT56" s="387">
        <f t="shared" si="60"/>
        <v>0</v>
      </c>
      <c r="BU56" s="387">
        <f t="shared" si="61"/>
        <v>377.96522399999998</v>
      </c>
      <c r="BV56" s="387">
        <f t="shared" si="62"/>
        <v>88.772319999999993</v>
      </c>
      <c r="BW56" s="387">
        <f t="shared" si="63"/>
        <v>0</v>
      </c>
      <c r="BX56" s="387">
        <f t="shared" si="34"/>
        <v>13817.411607999999</v>
      </c>
      <c r="BY56" s="387">
        <f t="shared" si="35"/>
        <v>0</v>
      </c>
      <c r="BZ56" s="387">
        <f t="shared" si="36"/>
        <v>1250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-518.97664000000066</v>
      </c>
      <c r="CE56" s="387">
        <f t="shared" si="66"/>
        <v>0</v>
      </c>
      <c r="CF56" s="387">
        <f t="shared" si="67"/>
        <v>0</v>
      </c>
      <c r="CG56" s="387">
        <f t="shared" si="68"/>
        <v>0</v>
      </c>
      <c r="CH56" s="387">
        <f t="shared" si="69"/>
        <v>20.485919999999993</v>
      </c>
      <c r="CI56" s="387">
        <f t="shared" si="70"/>
        <v>0</v>
      </c>
      <c r="CJ56" s="387">
        <f t="shared" si="39"/>
        <v>-498.49072000000069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0229-00</v>
      </c>
    </row>
    <row r="57" spans="1:92" ht="15.75" thickBot="1" x14ac:dyDescent="0.3">
      <c r="A57" s="377" t="s">
        <v>162</v>
      </c>
      <c r="B57" s="377" t="s">
        <v>163</v>
      </c>
      <c r="C57" s="377" t="s">
        <v>459</v>
      </c>
      <c r="D57" s="377" t="s">
        <v>189</v>
      </c>
      <c r="E57" s="377" t="s">
        <v>166</v>
      </c>
      <c r="F57" s="378" t="s">
        <v>167</v>
      </c>
      <c r="G57" s="377" t="s">
        <v>168</v>
      </c>
      <c r="H57" s="379"/>
      <c r="I57" s="379"/>
      <c r="J57" s="377" t="s">
        <v>186</v>
      </c>
      <c r="K57" s="377" t="s">
        <v>190</v>
      </c>
      <c r="L57" s="377" t="s">
        <v>191</v>
      </c>
      <c r="M57" s="377" t="s">
        <v>172</v>
      </c>
      <c r="N57" s="377" t="s">
        <v>173</v>
      </c>
      <c r="O57" s="380">
        <v>1</v>
      </c>
      <c r="P57" s="385">
        <v>1</v>
      </c>
      <c r="Q57" s="385">
        <v>1</v>
      </c>
      <c r="R57" s="381">
        <v>80</v>
      </c>
      <c r="S57" s="385">
        <v>1</v>
      </c>
      <c r="T57" s="381">
        <v>49755.02</v>
      </c>
      <c r="U57" s="381">
        <v>0</v>
      </c>
      <c r="V57" s="381">
        <v>19929.18</v>
      </c>
      <c r="W57" s="381">
        <v>63003.199999999997</v>
      </c>
      <c r="X57" s="381">
        <v>25708.59</v>
      </c>
      <c r="Y57" s="381">
        <v>63003.199999999997</v>
      </c>
      <c r="Z57" s="381">
        <v>26498.66</v>
      </c>
      <c r="AA57" s="377" t="s">
        <v>460</v>
      </c>
      <c r="AB57" s="377" t="s">
        <v>461</v>
      </c>
      <c r="AC57" s="377" t="s">
        <v>462</v>
      </c>
      <c r="AD57" s="377" t="s">
        <v>463</v>
      </c>
      <c r="AE57" s="377" t="s">
        <v>410</v>
      </c>
      <c r="AF57" s="377" t="s">
        <v>411</v>
      </c>
      <c r="AG57" s="377" t="s">
        <v>179</v>
      </c>
      <c r="AH57" s="382">
        <v>30.29</v>
      </c>
      <c r="AI57" s="380">
        <v>9698</v>
      </c>
      <c r="AJ57" s="377" t="s">
        <v>180</v>
      </c>
      <c r="AK57" s="377" t="s">
        <v>181</v>
      </c>
      <c r="AL57" s="377" t="s">
        <v>182</v>
      </c>
      <c r="AM57" s="377" t="s">
        <v>183</v>
      </c>
      <c r="AN57" s="377" t="s">
        <v>66</v>
      </c>
      <c r="AO57" s="380">
        <v>80</v>
      </c>
      <c r="AP57" s="385">
        <v>1</v>
      </c>
      <c r="AQ57" s="385">
        <v>1</v>
      </c>
      <c r="AR57" s="383">
        <v>3</v>
      </c>
      <c r="AS57" s="387">
        <f t="shared" si="27"/>
        <v>1</v>
      </c>
      <c r="AT57">
        <f t="shared" si="28"/>
        <v>1</v>
      </c>
      <c r="AU57" s="387">
        <f>IF(AT57=0,"",IF(AND(AT57=1,M57="F",SUMIF(C2:C76,C57,AS2:AS76)&lt;=1),SUMIF(C2:C76,C57,AS2:AS76),IF(AND(AT57=1,M57="F",SUMIF(C2:C76,C57,AS2:AS76)&gt;1),1,"")))</f>
        <v>1</v>
      </c>
      <c r="AV57" s="387" t="str">
        <f>IF(AT57=0,"",IF(AND(AT57=3,M57="F",SUMIF(C2:C76,C57,AS2:AS76)&lt;=1),SUMIF(C2:C76,C57,AS2:AS76),IF(AND(AT57=3,M57="F",SUMIF(C2:C76,C57,AS2:AS76)&gt;1),1,"")))</f>
        <v/>
      </c>
      <c r="AW57" s="387">
        <f>SUMIF(C2:C76,C57,O2:O76)</f>
        <v>1</v>
      </c>
      <c r="AX57" s="387">
        <f>IF(AND(M57="F",AS57&lt;&gt;0),SUMIF(C2:C76,C57,W2:W76),0)</f>
        <v>63003.199999999997</v>
      </c>
      <c r="AY57" s="387">
        <f t="shared" si="29"/>
        <v>63003.199999999997</v>
      </c>
      <c r="AZ57" s="387" t="str">
        <f t="shared" si="30"/>
        <v/>
      </c>
      <c r="BA57" s="387">
        <f t="shared" si="31"/>
        <v>0</v>
      </c>
      <c r="BB57" s="387">
        <f t="shared" si="44"/>
        <v>12500</v>
      </c>
      <c r="BC57" s="387">
        <f t="shared" si="45"/>
        <v>0</v>
      </c>
      <c r="BD57" s="387">
        <f t="shared" si="46"/>
        <v>3906.1983999999998</v>
      </c>
      <c r="BE57" s="387">
        <f t="shared" si="47"/>
        <v>913.54639999999995</v>
      </c>
      <c r="BF57" s="387">
        <f t="shared" si="48"/>
        <v>7522.5820800000001</v>
      </c>
      <c r="BG57" s="387">
        <f t="shared" si="49"/>
        <v>454.25307199999997</v>
      </c>
      <c r="BH57" s="387">
        <f t="shared" si="50"/>
        <v>0</v>
      </c>
      <c r="BI57" s="387">
        <f t="shared" si="51"/>
        <v>348.722712</v>
      </c>
      <c r="BJ57" s="387">
        <f t="shared" si="52"/>
        <v>63.0032</v>
      </c>
      <c r="BK57" s="387">
        <f t="shared" si="53"/>
        <v>0</v>
      </c>
      <c r="BL57" s="387">
        <f t="shared" si="32"/>
        <v>13208.305864</v>
      </c>
      <c r="BM57" s="387">
        <f t="shared" si="33"/>
        <v>0</v>
      </c>
      <c r="BN57" s="387">
        <f t="shared" si="54"/>
        <v>13750</v>
      </c>
      <c r="BO57" s="387">
        <f t="shared" si="55"/>
        <v>0</v>
      </c>
      <c r="BP57" s="387">
        <f t="shared" si="56"/>
        <v>3906.1983999999998</v>
      </c>
      <c r="BQ57" s="387">
        <f t="shared" si="57"/>
        <v>913.54639999999995</v>
      </c>
      <c r="BR57" s="387">
        <f t="shared" si="58"/>
        <v>7043.7577599999995</v>
      </c>
      <c r="BS57" s="387">
        <f t="shared" si="59"/>
        <v>454.25307199999997</v>
      </c>
      <c r="BT57" s="387">
        <f t="shared" si="60"/>
        <v>0</v>
      </c>
      <c r="BU57" s="387">
        <f t="shared" si="61"/>
        <v>348.722712</v>
      </c>
      <c r="BV57" s="387">
        <f t="shared" si="62"/>
        <v>81.90415999999999</v>
      </c>
      <c r="BW57" s="387">
        <f t="shared" si="63"/>
        <v>0</v>
      </c>
      <c r="BX57" s="387">
        <f t="shared" si="34"/>
        <v>12748.382503999999</v>
      </c>
      <c r="BY57" s="387">
        <f t="shared" si="35"/>
        <v>0</v>
      </c>
      <c r="BZ57" s="387">
        <f t="shared" si="36"/>
        <v>1250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-478.82432000000057</v>
      </c>
      <c r="CE57" s="387">
        <f t="shared" si="66"/>
        <v>0</v>
      </c>
      <c r="CF57" s="387">
        <f t="shared" si="67"/>
        <v>0</v>
      </c>
      <c r="CG57" s="387">
        <f t="shared" si="68"/>
        <v>0</v>
      </c>
      <c r="CH57" s="387">
        <f t="shared" si="69"/>
        <v>18.900959999999994</v>
      </c>
      <c r="CI57" s="387">
        <f t="shared" si="70"/>
        <v>0</v>
      </c>
      <c r="CJ57" s="387">
        <f t="shared" si="39"/>
        <v>-459.92336000000057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0229-00</v>
      </c>
    </row>
    <row r="58" spans="1:92" ht="15.75" thickBot="1" x14ac:dyDescent="0.3">
      <c r="A58" s="377" t="s">
        <v>162</v>
      </c>
      <c r="B58" s="377" t="s">
        <v>163</v>
      </c>
      <c r="C58" s="377" t="s">
        <v>464</v>
      </c>
      <c r="D58" s="377" t="s">
        <v>430</v>
      </c>
      <c r="E58" s="377" t="s">
        <v>166</v>
      </c>
      <c r="F58" s="378" t="s">
        <v>167</v>
      </c>
      <c r="G58" s="377" t="s">
        <v>168</v>
      </c>
      <c r="H58" s="379"/>
      <c r="I58" s="379"/>
      <c r="J58" s="377" t="s">
        <v>186</v>
      </c>
      <c r="K58" s="377" t="s">
        <v>432</v>
      </c>
      <c r="L58" s="377" t="s">
        <v>167</v>
      </c>
      <c r="M58" s="377" t="s">
        <v>187</v>
      </c>
      <c r="N58" s="377" t="s">
        <v>433</v>
      </c>
      <c r="O58" s="380">
        <v>0</v>
      </c>
      <c r="P58" s="385">
        <v>1</v>
      </c>
      <c r="Q58" s="385">
        <v>0</v>
      </c>
      <c r="R58" s="381">
        <v>0</v>
      </c>
      <c r="S58" s="385">
        <v>0</v>
      </c>
      <c r="T58" s="381">
        <v>0</v>
      </c>
      <c r="U58" s="381">
        <v>0</v>
      </c>
      <c r="V58" s="381">
        <v>0</v>
      </c>
      <c r="W58" s="381">
        <v>0</v>
      </c>
      <c r="X58" s="381">
        <v>0</v>
      </c>
      <c r="Y58" s="381">
        <v>0</v>
      </c>
      <c r="Z58" s="381">
        <v>0</v>
      </c>
      <c r="AA58" s="379"/>
      <c r="AB58" s="377" t="s">
        <v>45</v>
      </c>
      <c r="AC58" s="377" t="s">
        <v>45</v>
      </c>
      <c r="AD58" s="379"/>
      <c r="AE58" s="379"/>
      <c r="AF58" s="379"/>
      <c r="AG58" s="379"/>
      <c r="AH58" s="380">
        <v>0</v>
      </c>
      <c r="AI58" s="380">
        <v>0</v>
      </c>
      <c r="AJ58" s="379"/>
      <c r="AK58" s="379"/>
      <c r="AL58" s="377" t="s">
        <v>182</v>
      </c>
      <c r="AM58" s="379"/>
      <c r="AN58" s="379"/>
      <c r="AO58" s="380">
        <v>0</v>
      </c>
      <c r="AP58" s="385">
        <v>0</v>
      </c>
      <c r="AQ58" s="385">
        <v>0</v>
      </c>
      <c r="AR58" s="384"/>
      <c r="AS58" s="387">
        <f t="shared" si="27"/>
        <v>0</v>
      </c>
      <c r="AT58">
        <f t="shared" si="28"/>
        <v>0</v>
      </c>
      <c r="AU58" s="387" t="str">
        <f>IF(AT58=0,"",IF(AND(AT58=1,M58="F",SUMIF(C2:C76,C58,AS2:AS76)&lt;=1),SUMIF(C2:C76,C58,AS2:AS76),IF(AND(AT58=1,M58="F",SUMIF(C2:C76,C58,AS2:AS76)&gt;1),1,"")))</f>
        <v/>
      </c>
      <c r="AV58" s="387" t="str">
        <f>IF(AT58=0,"",IF(AND(AT58=3,M58="F",SUMIF(C2:C76,C58,AS2:AS76)&lt;=1),SUMIF(C2:C76,C58,AS2:AS76),IF(AND(AT58=3,M58="F",SUMIF(C2:C76,C58,AS2:AS76)&gt;1),1,"")))</f>
        <v/>
      </c>
      <c r="AW58" s="387">
        <f>SUMIF(C2:C76,C58,O2:O76)</f>
        <v>0</v>
      </c>
      <c r="AX58" s="387">
        <f>IF(AND(M58="F",AS58&lt;&gt;0),SUMIF(C2:C76,C58,W2:W76),0)</f>
        <v>0</v>
      </c>
      <c r="AY58" s="387" t="str">
        <f t="shared" si="29"/>
        <v/>
      </c>
      <c r="AZ58" s="387" t="str">
        <f t="shared" si="30"/>
        <v/>
      </c>
      <c r="BA58" s="387">
        <f t="shared" si="31"/>
        <v>0</v>
      </c>
      <c r="BB58" s="387">
        <f t="shared" si="44"/>
        <v>0</v>
      </c>
      <c r="BC58" s="387">
        <f t="shared" si="45"/>
        <v>0</v>
      </c>
      <c r="BD58" s="387">
        <f t="shared" si="46"/>
        <v>0</v>
      </c>
      <c r="BE58" s="387">
        <f t="shared" si="47"/>
        <v>0</v>
      </c>
      <c r="BF58" s="387">
        <f t="shared" si="48"/>
        <v>0</v>
      </c>
      <c r="BG58" s="387">
        <f t="shared" si="49"/>
        <v>0</v>
      </c>
      <c r="BH58" s="387">
        <f t="shared" si="50"/>
        <v>0</v>
      </c>
      <c r="BI58" s="387">
        <f t="shared" si="51"/>
        <v>0</v>
      </c>
      <c r="BJ58" s="387">
        <f t="shared" si="52"/>
        <v>0</v>
      </c>
      <c r="BK58" s="387">
        <f t="shared" si="53"/>
        <v>0</v>
      </c>
      <c r="BL58" s="387">
        <f t="shared" si="32"/>
        <v>0</v>
      </c>
      <c r="BM58" s="387">
        <f t="shared" si="33"/>
        <v>0</v>
      </c>
      <c r="BN58" s="387">
        <f t="shared" si="54"/>
        <v>0</v>
      </c>
      <c r="BO58" s="387">
        <f t="shared" si="55"/>
        <v>0</v>
      </c>
      <c r="BP58" s="387">
        <f t="shared" si="56"/>
        <v>0</v>
      </c>
      <c r="BQ58" s="387">
        <f t="shared" si="57"/>
        <v>0</v>
      </c>
      <c r="BR58" s="387">
        <f t="shared" si="58"/>
        <v>0</v>
      </c>
      <c r="BS58" s="387">
        <f t="shared" si="59"/>
        <v>0</v>
      </c>
      <c r="BT58" s="387">
        <f t="shared" si="60"/>
        <v>0</v>
      </c>
      <c r="BU58" s="387">
        <f t="shared" si="61"/>
        <v>0</v>
      </c>
      <c r="BV58" s="387">
        <f t="shared" si="62"/>
        <v>0</v>
      </c>
      <c r="BW58" s="387">
        <f t="shared" si="63"/>
        <v>0</v>
      </c>
      <c r="BX58" s="387">
        <f t="shared" si="34"/>
        <v>0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0</v>
      </c>
      <c r="CE58" s="387">
        <f t="shared" si="66"/>
        <v>0</v>
      </c>
      <c r="CF58" s="387">
        <f t="shared" si="67"/>
        <v>0</v>
      </c>
      <c r="CG58" s="387">
        <f t="shared" si="68"/>
        <v>0</v>
      </c>
      <c r="CH58" s="387">
        <f t="shared" si="69"/>
        <v>0</v>
      </c>
      <c r="CI58" s="387">
        <f t="shared" si="70"/>
        <v>0</v>
      </c>
      <c r="CJ58" s="387">
        <f t="shared" si="39"/>
        <v>0</v>
      </c>
      <c r="CK58" s="387" t="str">
        <f t="shared" si="40"/>
        <v/>
      </c>
      <c r="CL58" s="387">
        <f t="shared" si="41"/>
        <v>0</v>
      </c>
      <c r="CM58" s="387">
        <f t="shared" si="42"/>
        <v>0</v>
      </c>
      <c r="CN58" s="387" t="str">
        <f t="shared" si="43"/>
        <v>0229-00</v>
      </c>
    </row>
    <row r="59" spans="1:92" ht="15.75" thickBot="1" x14ac:dyDescent="0.3">
      <c r="A59" s="377" t="s">
        <v>162</v>
      </c>
      <c r="B59" s="377" t="s">
        <v>163</v>
      </c>
      <c r="C59" s="377" t="s">
        <v>465</v>
      </c>
      <c r="D59" s="377" t="s">
        <v>466</v>
      </c>
      <c r="E59" s="377" t="s">
        <v>166</v>
      </c>
      <c r="F59" s="378" t="s">
        <v>167</v>
      </c>
      <c r="G59" s="377" t="s">
        <v>168</v>
      </c>
      <c r="H59" s="379"/>
      <c r="I59" s="379"/>
      <c r="J59" s="377" t="s">
        <v>169</v>
      </c>
      <c r="K59" s="377" t="s">
        <v>467</v>
      </c>
      <c r="L59" s="377" t="s">
        <v>468</v>
      </c>
      <c r="M59" s="377" t="s">
        <v>172</v>
      </c>
      <c r="N59" s="377" t="s">
        <v>173</v>
      </c>
      <c r="O59" s="380">
        <v>1</v>
      </c>
      <c r="P59" s="385">
        <v>1</v>
      </c>
      <c r="Q59" s="385">
        <v>1</v>
      </c>
      <c r="R59" s="381">
        <v>80</v>
      </c>
      <c r="S59" s="385">
        <v>1</v>
      </c>
      <c r="T59" s="381">
        <v>43420.800000000003</v>
      </c>
      <c r="U59" s="381">
        <v>0</v>
      </c>
      <c r="V59" s="381">
        <v>21080.74</v>
      </c>
      <c r="W59" s="381">
        <v>44740.800000000003</v>
      </c>
      <c r="X59" s="381">
        <v>21879.86</v>
      </c>
      <c r="Y59" s="381">
        <v>44740.800000000003</v>
      </c>
      <c r="Z59" s="381">
        <v>22803.26</v>
      </c>
      <c r="AA59" s="377" t="s">
        <v>469</v>
      </c>
      <c r="AB59" s="377" t="s">
        <v>470</v>
      </c>
      <c r="AC59" s="377" t="s">
        <v>471</v>
      </c>
      <c r="AD59" s="377" t="s">
        <v>472</v>
      </c>
      <c r="AE59" s="377" t="s">
        <v>467</v>
      </c>
      <c r="AF59" s="377" t="s">
        <v>473</v>
      </c>
      <c r="AG59" s="377" t="s">
        <v>179</v>
      </c>
      <c r="AH59" s="382">
        <v>21.51</v>
      </c>
      <c r="AI59" s="382">
        <v>9187.1</v>
      </c>
      <c r="AJ59" s="377" t="s">
        <v>180</v>
      </c>
      <c r="AK59" s="377" t="s">
        <v>181</v>
      </c>
      <c r="AL59" s="377" t="s">
        <v>182</v>
      </c>
      <c r="AM59" s="377" t="s">
        <v>183</v>
      </c>
      <c r="AN59" s="377" t="s">
        <v>66</v>
      </c>
      <c r="AO59" s="380">
        <v>80</v>
      </c>
      <c r="AP59" s="385">
        <v>1</v>
      </c>
      <c r="AQ59" s="385">
        <v>1</v>
      </c>
      <c r="AR59" s="383" t="s">
        <v>184</v>
      </c>
      <c r="AS59" s="387">
        <f t="shared" si="27"/>
        <v>1</v>
      </c>
      <c r="AT59">
        <f t="shared" si="28"/>
        <v>1</v>
      </c>
      <c r="AU59" s="387">
        <f>IF(AT59=0,"",IF(AND(AT59=1,M59="F",SUMIF(C2:C76,C59,AS2:AS76)&lt;=1),SUMIF(C2:C76,C59,AS2:AS76),IF(AND(AT59=1,M59="F",SUMIF(C2:C76,C59,AS2:AS76)&gt;1),1,"")))</f>
        <v>1</v>
      </c>
      <c r="AV59" s="387" t="str">
        <f>IF(AT59=0,"",IF(AND(AT59=3,M59="F",SUMIF(C2:C76,C59,AS2:AS76)&lt;=1),SUMIF(C2:C76,C59,AS2:AS76),IF(AND(AT59=3,M59="F",SUMIF(C2:C76,C59,AS2:AS76)&gt;1),1,"")))</f>
        <v/>
      </c>
      <c r="AW59" s="387">
        <f>SUMIF(C2:C76,C59,O2:O76)</f>
        <v>1</v>
      </c>
      <c r="AX59" s="387">
        <f>IF(AND(M59="F",AS59&lt;&gt;0),SUMIF(C2:C76,C59,W2:W76),0)</f>
        <v>44740.800000000003</v>
      </c>
      <c r="AY59" s="387">
        <f t="shared" si="29"/>
        <v>44740.800000000003</v>
      </c>
      <c r="AZ59" s="387" t="str">
        <f t="shared" si="30"/>
        <v/>
      </c>
      <c r="BA59" s="387">
        <f t="shared" si="31"/>
        <v>0</v>
      </c>
      <c r="BB59" s="387">
        <f t="shared" si="44"/>
        <v>12500</v>
      </c>
      <c r="BC59" s="387">
        <f t="shared" si="45"/>
        <v>0</v>
      </c>
      <c r="BD59" s="387">
        <f t="shared" si="46"/>
        <v>2773.9295999999999</v>
      </c>
      <c r="BE59" s="387">
        <f t="shared" si="47"/>
        <v>648.74160000000006</v>
      </c>
      <c r="BF59" s="387">
        <f t="shared" si="48"/>
        <v>5342.0515200000009</v>
      </c>
      <c r="BG59" s="387">
        <f t="shared" si="49"/>
        <v>322.58116800000005</v>
      </c>
      <c r="BH59" s="387">
        <f t="shared" si="50"/>
        <v>0</v>
      </c>
      <c r="BI59" s="387">
        <f t="shared" si="51"/>
        <v>247.64032800000001</v>
      </c>
      <c r="BJ59" s="387">
        <f t="shared" si="52"/>
        <v>44.740800000000007</v>
      </c>
      <c r="BK59" s="387">
        <f t="shared" si="53"/>
        <v>0</v>
      </c>
      <c r="BL59" s="387">
        <f t="shared" si="32"/>
        <v>9379.6850160000013</v>
      </c>
      <c r="BM59" s="387">
        <f t="shared" si="33"/>
        <v>0</v>
      </c>
      <c r="BN59" s="387">
        <f t="shared" si="54"/>
        <v>13750</v>
      </c>
      <c r="BO59" s="387">
        <f t="shared" si="55"/>
        <v>0</v>
      </c>
      <c r="BP59" s="387">
        <f t="shared" si="56"/>
        <v>2773.9295999999999</v>
      </c>
      <c r="BQ59" s="387">
        <f t="shared" si="57"/>
        <v>648.74160000000006</v>
      </c>
      <c r="BR59" s="387">
        <f t="shared" si="58"/>
        <v>5002.0214400000004</v>
      </c>
      <c r="BS59" s="387">
        <f t="shared" si="59"/>
        <v>322.58116800000005</v>
      </c>
      <c r="BT59" s="387">
        <f t="shared" si="60"/>
        <v>0</v>
      </c>
      <c r="BU59" s="387">
        <f t="shared" si="61"/>
        <v>247.64032800000001</v>
      </c>
      <c r="BV59" s="387">
        <f t="shared" si="62"/>
        <v>58.163040000000002</v>
      </c>
      <c r="BW59" s="387">
        <f t="shared" si="63"/>
        <v>0</v>
      </c>
      <c r="BX59" s="387">
        <f t="shared" si="34"/>
        <v>9053.0771760000007</v>
      </c>
      <c r="BY59" s="387">
        <f t="shared" si="35"/>
        <v>0</v>
      </c>
      <c r="BZ59" s="387">
        <f t="shared" si="36"/>
        <v>1250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-340.03008000000045</v>
      </c>
      <c r="CE59" s="387">
        <f t="shared" si="66"/>
        <v>0</v>
      </c>
      <c r="CF59" s="387">
        <f t="shared" si="67"/>
        <v>0</v>
      </c>
      <c r="CG59" s="387">
        <f t="shared" si="68"/>
        <v>0</v>
      </c>
      <c r="CH59" s="387">
        <f t="shared" si="69"/>
        <v>13.422239999999997</v>
      </c>
      <c r="CI59" s="387">
        <f t="shared" si="70"/>
        <v>0</v>
      </c>
      <c r="CJ59" s="387">
        <f t="shared" si="39"/>
        <v>-326.60784000000046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0229-00</v>
      </c>
    </row>
    <row r="60" spans="1:92" ht="15.75" thickBot="1" x14ac:dyDescent="0.3">
      <c r="A60" s="377" t="s">
        <v>162</v>
      </c>
      <c r="B60" s="377" t="s">
        <v>163</v>
      </c>
      <c r="C60" s="377" t="s">
        <v>474</v>
      </c>
      <c r="D60" s="377" t="s">
        <v>334</v>
      </c>
      <c r="E60" s="377" t="s">
        <v>166</v>
      </c>
      <c r="F60" s="378" t="s">
        <v>167</v>
      </c>
      <c r="G60" s="377" t="s">
        <v>168</v>
      </c>
      <c r="H60" s="379"/>
      <c r="I60" s="379"/>
      <c r="J60" s="377" t="s">
        <v>169</v>
      </c>
      <c r="K60" s="377" t="s">
        <v>335</v>
      </c>
      <c r="L60" s="377" t="s">
        <v>179</v>
      </c>
      <c r="M60" s="377" t="s">
        <v>172</v>
      </c>
      <c r="N60" s="377" t="s">
        <v>173</v>
      </c>
      <c r="O60" s="380">
        <v>1</v>
      </c>
      <c r="P60" s="385">
        <v>1</v>
      </c>
      <c r="Q60" s="385">
        <v>1</v>
      </c>
      <c r="R60" s="381">
        <v>80</v>
      </c>
      <c r="S60" s="385">
        <v>1</v>
      </c>
      <c r="T60" s="381">
        <v>35465.599999999999</v>
      </c>
      <c r="U60" s="381">
        <v>0</v>
      </c>
      <c r="V60" s="381">
        <v>19412.64</v>
      </c>
      <c r="W60" s="381">
        <v>38729.599999999999</v>
      </c>
      <c r="X60" s="381">
        <v>20619.61</v>
      </c>
      <c r="Y60" s="381">
        <v>38729.599999999999</v>
      </c>
      <c r="Z60" s="381">
        <v>21586.9</v>
      </c>
      <c r="AA60" s="377" t="s">
        <v>475</v>
      </c>
      <c r="AB60" s="377" t="s">
        <v>476</v>
      </c>
      <c r="AC60" s="377" t="s">
        <v>477</v>
      </c>
      <c r="AD60" s="377" t="s">
        <v>171</v>
      </c>
      <c r="AE60" s="377" t="s">
        <v>335</v>
      </c>
      <c r="AF60" s="377" t="s">
        <v>339</v>
      </c>
      <c r="AG60" s="377" t="s">
        <v>179</v>
      </c>
      <c r="AH60" s="382">
        <v>18.62</v>
      </c>
      <c r="AI60" s="382">
        <v>13889.4</v>
      </c>
      <c r="AJ60" s="377" t="s">
        <v>180</v>
      </c>
      <c r="AK60" s="377" t="s">
        <v>181</v>
      </c>
      <c r="AL60" s="377" t="s">
        <v>182</v>
      </c>
      <c r="AM60" s="377" t="s">
        <v>183</v>
      </c>
      <c r="AN60" s="377" t="s">
        <v>66</v>
      </c>
      <c r="AO60" s="380">
        <v>80</v>
      </c>
      <c r="AP60" s="385">
        <v>1</v>
      </c>
      <c r="AQ60" s="385">
        <v>1</v>
      </c>
      <c r="AR60" s="383" t="s">
        <v>184</v>
      </c>
      <c r="AS60" s="387">
        <f t="shared" si="27"/>
        <v>1</v>
      </c>
      <c r="AT60">
        <f t="shared" si="28"/>
        <v>1</v>
      </c>
      <c r="AU60" s="387">
        <f>IF(AT60=0,"",IF(AND(AT60=1,M60="F",SUMIF(C2:C76,C60,AS2:AS76)&lt;=1),SUMIF(C2:C76,C60,AS2:AS76),IF(AND(AT60=1,M60="F",SUMIF(C2:C76,C60,AS2:AS76)&gt;1),1,"")))</f>
        <v>1</v>
      </c>
      <c r="AV60" s="387" t="str">
        <f>IF(AT60=0,"",IF(AND(AT60=3,M60="F",SUMIF(C2:C76,C60,AS2:AS76)&lt;=1),SUMIF(C2:C76,C60,AS2:AS76),IF(AND(AT60=3,M60="F",SUMIF(C2:C76,C60,AS2:AS76)&gt;1),1,"")))</f>
        <v/>
      </c>
      <c r="AW60" s="387">
        <f>SUMIF(C2:C76,C60,O2:O76)</f>
        <v>1</v>
      </c>
      <c r="AX60" s="387">
        <f>IF(AND(M60="F",AS60&lt;&gt;0),SUMIF(C2:C76,C60,W2:W76),0)</f>
        <v>38729.599999999999</v>
      </c>
      <c r="AY60" s="387">
        <f t="shared" si="29"/>
        <v>38729.599999999999</v>
      </c>
      <c r="AZ60" s="387" t="str">
        <f t="shared" si="30"/>
        <v/>
      </c>
      <c r="BA60" s="387">
        <f t="shared" si="31"/>
        <v>0</v>
      </c>
      <c r="BB60" s="387">
        <f t="shared" si="44"/>
        <v>12500</v>
      </c>
      <c r="BC60" s="387">
        <f t="shared" si="45"/>
        <v>0</v>
      </c>
      <c r="BD60" s="387">
        <f t="shared" si="46"/>
        <v>2401.2352000000001</v>
      </c>
      <c r="BE60" s="387">
        <f t="shared" si="47"/>
        <v>561.57920000000001</v>
      </c>
      <c r="BF60" s="387">
        <f t="shared" si="48"/>
        <v>4624.3142399999997</v>
      </c>
      <c r="BG60" s="387">
        <f t="shared" si="49"/>
        <v>279.24041599999998</v>
      </c>
      <c r="BH60" s="387">
        <f t="shared" si="50"/>
        <v>0</v>
      </c>
      <c r="BI60" s="387">
        <f t="shared" si="51"/>
        <v>214.368336</v>
      </c>
      <c r="BJ60" s="387">
        <f t="shared" si="52"/>
        <v>38.729599999999998</v>
      </c>
      <c r="BK60" s="387">
        <f t="shared" si="53"/>
        <v>0</v>
      </c>
      <c r="BL60" s="387">
        <f t="shared" si="32"/>
        <v>8119.4669919999988</v>
      </c>
      <c r="BM60" s="387">
        <f t="shared" si="33"/>
        <v>0</v>
      </c>
      <c r="BN60" s="387">
        <f t="shared" si="54"/>
        <v>13750</v>
      </c>
      <c r="BO60" s="387">
        <f t="shared" si="55"/>
        <v>0</v>
      </c>
      <c r="BP60" s="387">
        <f t="shared" si="56"/>
        <v>2401.2352000000001</v>
      </c>
      <c r="BQ60" s="387">
        <f t="shared" si="57"/>
        <v>561.57920000000001</v>
      </c>
      <c r="BR60" s="387">
        <f t="shared" si="58"/>
        <v>4329.9692799999993</v>
      </c>
      <c r="BS60" s="387">
        <f t="shared" si="59"/>
        <v>279.24041599999998</v>
      </c>
      <c r="BT60" s="387">
        <f t="shared" si="60"/>
        <v>0</v>
      </c>
      <c r="BU60" s="387">
        <f t="shared" si="61"/>
        <v>214.368336</v>
      </c>
      <c r="BV60" s="387">
        <f t="shared" si="62"/>
        <v>50.348479999999995</v>
      </c>
      <c r="BW60" s="387">
        <f t="shared" si="63"/>
        <v>0</v>
      </c>
      <c r="BX60" s="387">
        <f t="shared" si="34"/>
        <v>7836.7409119999984</v>
      </c>
      <c r="BY60" s="387">
        <f t="shared" si="35"/>
        <v>0</v>
      </c>
      <c r="BZ60" s="387">
        <f t="shared" si="36"/>
        <v>1250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-294.34496000000036</v>
      </c>
      <c r="CE60" s="387">
        <f t="shared" si="66"/>
        <v>0</v>
      </c>
      <c r="CF60" s="387">
        <f t="shared" si="67"/>
        <v>0</v>
      </c>
      <c r="CG60" s="387">
        <f t="shared" si="68"/>
        <v>0</v>
      </c>
      <c r="CH60" s="387">
        <f t="shared" si="69"/>
        <v>11.618879999999997</v>
      </c>
      <c r="CI60" s="387">
        <f t="shared" si="70"/>
        <v>0</v>
      </c>
      <c r="CJ60" s="387">
        <f t="shared" si="39"/>
        <v>-282.72608000000037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0229-00</v>
      </c>
    </row>
    <row r="61" spans="1:92" ht="15.75" thickBot="1" x14ac:dyDescent="0.3">
      <c r="A61" s="377" t="s">
        <v>162</v>
      </c>
      <c r="B61" s="377" t="s">
        <v>163</v>
      </c>
      <c r="C61" s="377" t="s">
        <v>478</v>
      </c>
      <c r="D61" s="377" t="s">
        <v>165</v>
      </c>
      <c r="E61" s="377" t="s">
        <v>166</v>
      </c>
      <c r="F61" s="378" t="s">
        <v>167</v>
      </c>
      <c r="G61" s="377" t="s">
        <v>168</v>
      </c>
      <c r="H61" s="379"/>
      <c r="I61" s="379"/>
      <c r="J61" s="377" t="s">
        <v>276</v>
      </c>
      <c r="K61" s="377" t="s">
        <v>479</v>
      </c>
      <c r="L61" s="377" t="s">
        <v>257</v>
      </c>
      <c r="M61" s="377" t="s">
        <v>187</v>
      </c>
      <c r="N61" s="377" t="s">
        <v>433</v>
      </c>
      <c r="O61" s="380">
        <v>0</v>
      </c>
      <c r="P61" s="385">
        <v>1</v>
      </c>
      <c r="Q61" s="385">
        <v>0</v>
      </c>
      <c r="R61" s="381">
        <v>0</v>
      </c>
      <c r="S61" s="385">
        <v>0</v>
      </c>
      <c r="T61" s="381">
        <v>0</v>
      </c>
      <c r="U61" s="381">
        <v>0</v>
      </c>
      <c r="V61" s="381">
        <v>0</v>
      </c>
      <c r="W61" s="381">
        <v>0</v>
      </c>
      <c r="X61" s="381">
        <v>0</v>
      </c>
      <c r="Y61" s="381">
        <v>0</v>
      </c>
      <c r="Z61" s="381">
        <v>0</v>
      </c>
      <c r="AA61" s="379"/>
      <c r="AB61" s="377" t="s">
        <v>45</v>
      </c>
      <c r="AC61" s="377" t="s">
        <v>45</v>
      </c>
      <c r="AD61" s="379"/>
      <c r="AE61" s="379"/>
      <c r="AF61" s="379"/>
      <c r="AG61" s="379"/>
      <c r="AH61" s="380">
        <v>0</v>
      </c>
      <c r="AI61" s="380">
        <v>0</v>
      </c>
      <c r="AJ61" s="379"/>
      <c r="AK61" s="379"/>
      <c r="AL61" s="377" t="s">
        <v>182</v>
      </c>
      <c r="AM61" s="379"/>
      <c r="AN61" s="379"/>
      <c r="AO61" s="380">
        <v>0</v>
      </c>
      <c r="AP61" s="385">
        <v>0</v>
      </c>
      <c r="AQ61" s="385">
        <v>0</v>
      </c>
      <c r="AR61" s="384"/>
      <c r="AS61" s="387">
        <f t="shared" si="27"/>
        <v>0</v>
      </c>
      <c r="AT61">
        <f t="shared" si="28"/>
        <v>0</v>
      </c>
      <c r="AU61" s="387" t="str">
        <f>IF(AT61=0,"",IF(AND(AT61=1,M61="F",SUMIF(C2:C76,C61,AS2:AS76)&lt;=1),SUMIF(C2:C76,C61,AS2:AS76),IF(AND(AT61=1,M61="F",SUMIF(C2:C76,C61,AS2:AS76)&gt;1),1,"")))</f>
        <v/>
      </c>
      <c r="AV61" s="387" t="str">
        <f>IF(AT61=0,"",IF(AND(AT61=3,M61="F",SUMIF(C2:C76,C61,AS2:AS76)&lt;=1),SUMIF(C2:C76,C61,AS2:AS76),IF(AND(AT61=3,M61="F",SUMIF(C2:C76,C61,AS2:AS76)&gt;1),1,"")))</f>
        <v/>
      </c>
      <c r="AW61" s="387">
        <f>SUMIF(C2:C76,C61,O2:O76)</f>
        <v>0</v>
      </c>
      <c r="AX61" s="387">
        <f>IF(AND(M61="F",AS61&lt;&gt;0),SUMIF(C2:C76,C61,W2:W76),0)</f>
        <v>0</v>
      </c>
      <c r="AY61" s="387" t="str">
        <f t="shared" si="29"/>
        <v/>
      </c>
      <c r="AZ61" s="387" t="str">
        <f t="shared" si="30"/>
        <v/>
      </c>
      <c r="BA61" s="387">
        <f t="shared" si="31"/>
        <v>0</v>
      </c>
      <c r="BB61" s="387">
        <f t="shared" si="44"/>
        <v>0</v>
      </c>
      <c r="BC61" s="387">
        <f t="shared" si="45"/>
        <v>0</v>
      </c>
      <c r="BD61" s="387">
        <f t="shared" si="46"/>
        <v>0</v>
      </c>
      <c r="BE61" s="387">
        <f t="shared" si="47"/>
        <v>0</v>
      </c>
      <c r="BF61" s="387">
        <f t="shared" si="48"/>
        <v>0</v>
      </c>
      <c r="BG61" s="387">
        <f t="shared" si="49"/>
        <v>0</v>
      </c>
      <c r="BH61" s="387">
        <f t="shared" si="50"/>
        <v>0</v>
      </c>
      <c r="BI61" s="387">
        <f t="shared" si="51"/>
        <v>0</v>
      </c>
      <c r="BJ61" s="387">
        <f t="shared" si="52"/>
        <v>0</v>
      </c>
      <c r="BK61" s="387">
        <f t="shared" si="53"/>
        <v>0</v>
      </c>
      <c r="BL61" s="387">
        <f t="shared" si="32"/>
        <v>0</v>
      </c>
      <c r="BM61" s="387">
        <f t="shared" si="33"/>
        <v>0</v>
      </c>
      <c r="BN61" s="387">
        <f t="shared" si="54"/>
        <v>0</v>
      </c>
      <c r="BO61" s="387">
        <f t="shared" si="55"/>
        <v>0</v>
      </c>
      <c r="BP61" s="387">
        <f t="shared" si="56"/>
        <v>0</v>
      </c>
      <c r="BQ61" s="387">
        <f t="shared" si="57"/>
        <v>0</v>
      </c>
      <c r="BR61" s="387">
        <f t="shared" si="58"/>
        <v>0</v>
      </c>
      <c r="BS61" s="387">
        <f t="shared" si="59"/>
        <v>0</v>
      </c>
      <c r="BT61" s="387">
        <f t="shared" si="60"/>
        <v>0</v>
      </c>
      <c r="BU61" s="387">
        <f t="shared" si="61"/>
        <v>0</v>
      </c>
      <c r="BV61" s="387">
        <f t="shared" si="62"/>
        <v>0</v>
      </c>
      <c r="BW61" s="387">
        <f t="shared" si="63"/>
        <v>0</v>
      </c>
      <c r="BX61" s="387">
        <f t="shared" si="34"/>
        <v>0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0</v>
      </c>
      <c r="CE61" s="387">
        <f t="shared" si="66"/>
        <v>0</v>
      </c>
      <c r="CF61" s="387">
        <f t="shared" si="67"/>
        <v>0</v>
      </c>
      <c r="CG61" s="387">
        <f t="shared" si="68"/>
        <v>0</v>
      </c>
      <c r="CH61" s="387">
        <f t="shared" si="69"/>
        <v>0</v>
      </c>
      <c r="CI61" s="387">
        <f t="shared" si="70"/>
        <v>0</v>
      </c>
      <c r="CJ61" s="387">
        <f t="shared" si="39"/>
        <v>0</v>
      </c>
      <c r="CK61" s="387" t="str">
        <f t="shared" si="40"/>
        <v/>
      </c>
      <c r="CL61" s="387">
        <f t="shared" si="41"/>
        <v>0</v>
      </c>
      <c r="CM61" s="387">
        <f t="shared" si="42"/>
        <v>0</v>
      </c>
      <c r="CN61" s="387" t="str">
        <f t="shared" si="43"/>
        <v>0229-00</v>
      </c>
    </row>
    <row r="62" spans="1:92" ht="15.75" thickBot="1" x14ac:dyDescent="0.3">
      <c r="A62" s="377" t="s">
        <v>162</v>
      </c>
      <c r="B62" s="377" t="s">
        <v>163</v>
      </c>
      <c r="C62" s="377" t="s">
        <v>480</v>
      </c>
      <c r="D62" s="377" t="s">
        <v>189</v>
      </c>
      <c r="E62" s="377" t="s">
        <v>166</v>
      </c>
      <c r="F62" s="378" t="s">
        <v>167</v>
      </c>
      <c r="G62" s="377" t="s">
        <v>168</v>
      </c>
      <c r="H62" s="379"/>
      <c r="I62" s="379"/>
      <c r="J62" s="377" t="s">
        <v>186</v>
      </c>
      <c r="K62" s="377" t="s">
        <v>198</v>
      </c>
      <c r="L62" s="377" t="s">
        <v>199</v>
      </c>
      <c r="M62" s="377" t="s">
        <v>172</v>
      </c>
      <c r="N62" s="377" t="s">
        <v>173</v>
      </c>
      <c r="O62" s="380">
        <v>1</v>
      </c>
      <c r="P62" s="385">
        <v>1</v>
      </c>
      <c r="Q62" s="385">
        <v>1</v>
      </c>
      <c r="R62" s="381">
        <v>80</v>
      </c>
      <c r="S62" s="385">
        <v>1</v>
      </c>
      <c r="T62" s="381">
        <v>67332.86</v>
      </c>
      <c r="U62" s="381">
        <v>0</v>
      </c>
      <c r="V62" s="381">
        <v>26018.53</v>
      </c>
      <c r="W62" s="381">
        <v>71156.800000000003</v>
      </c>
      <c r="X62" s="381">
        <v>27418</v>
      </c>
      <c r="Y62" s="381">
        <v>71156.800000000003</v>
      </c>
      <c r="Z62" s="381">
        <v>28148.560000000001</v>
      </c>
      <c r="AA62" s="377" t="s">
        <v>481</v>
      </c>
      <c r="AB62" s="377" t="s">
        <v>482</v>
      </c>
      <c r="AC62" s="377" t="s">
        <v>483</v>
      </c>
      <c r="AD62" s="377" t="s">
        <v>218</v>
      </c>
      <c r="AE62" s="377" t="s">
        <v>327</v>
      </c>
      <c r="AF62" s="377" t="s">
        <v>212</v>
      </c>
      <c r="AG62" s="377" t="s">
        <v>179</v>
      </c>
      <c r="AH62" s="382">
        <v>34.21</v>
      </c>
      <c r="AI62" s="380">
        <v>4433</v>
      </c>
      <c r="AJ62" s="377" t="s">
        <v>180</v>
      </c>
      <c r="AK62" s="377" t="s">
        <v>181</v>
      </c>
      <c r="AL62" s="377" t="s">
        <v>182</v>
      </c>
      <c r="AM62" s="377" t="s">
        <v>183</v>
      </c>
      <c r="AN62" s="377" t="s">
        <v>66</v>
      </c>
      <c r="AO62" s="380">
        <v>80</v>
      </c>
      <c r="AP62" s="385">
        <v>1</v>
      </c>
      <c r="AQ62" s="385">
        <v>1</v>
      </c>
      <c r="AR62" s="383">
        <v>3</v>
      </c>
      <c r="AS62" s="387">
        <f t="shared" si="27"/>
        <v>1</v>
      </c>
      <c r="AT62">
        <f t="shared" si="28"/>
        <v>1</v>
      </c>
      <c r="AU62" s="387">
        <f>IF(AT62=0,"",IF(AND(AT62=1,M62="F",SUMIF(C2:C76,C62,AS2:AS76)&lt;=1),SUMIF(C2:C76,C62,AS2:AS76),IF(AND(AT62=1,M62="F",SUMIF(C2:C76,C62,AS2:AS76)&gt;1),1,"")))</f>
        <v>1</v>
      </c>
      <c r="AV62" s="387" t="str">
        <f>IF(AT62=0,"",IF(AND(AT62=3,M62="F",SUMIF(C2:C76,C62,AS2:AS76)&lt;=1),SUMIF(C2:C76,C62,AS2:AS76),IF(AND(AT62=3,M62="F",SUMIF(C2:C76,C62,AS2:AS76)&gt;1),1,"")))</f>
        <v/>
      </c>
      <c r="AW62" s="387">
        <f>SUMIF(C2:C76,C62,O2:O76)</f>
        <v>1</v>
      </c>
      <c r="AX62" s="387">
        <f>IF(AND(M62="F",AS62&lt;&gt;0),SUMIF(C2:C76,C62,W2:W76),0)</f>
        <v>71156.800000000003</v>
      </c>
      <c r="AY62" s="387">
        <f t="shared" si="29"/>
        <v>71156.800000000003</v>
      </c>
      <c r="AZ62" s="387" t="str">
        <f t="shared" si="30"/>
        <v/>
      </c>
      <c r="BA62" s="387">
        <f t="shared" si="31"/>
        <v>0</v>
      </c>
      <c r="BB62" s="387">
        <f t="shared" si="44"/>
        <v>12500</v>
      </c>
      <c r="BC62" s="387">
        <f t="shared" si="45"/>
        <v>0</v>
      </c>
      <c r="BD62" s="387">
        <f t="shared" si="46"/>
        <v>4411.7215999999999</v>
      </c>
      <c r="BE62" s="387">
        <f t="shared" si="47"/>
        <v>1031.7736</v>
      </c>
      <c r="BF62" s="387">
        <f t="shared" si="48"/>
        <v>8496.1219200000014</v>
      </c>
      <c r="BG62" s="387">
        <f t="shared" si="49"/>
        <v>513.04052799999999</v>
      </c>
      <c r="BH62" s="387">
        <f t="shared" si="50"/>
        <v>0</v>
      </c>
      <c r="BI62" s="387">
        <f t="shared" si="51"/>
        <v>393.85288800000001</v>
      </c>
      <c r="BJ62" s="387">
        <f t="shared" si="52"/>
        <v>71.156800000000004</v>
      </c>
      <c r="BK62" s="387">
        <f t="shared" si="53"/>
        <v>0</v>
      </c>
      <c r="BL62" s="387">
        <f t="shared" si="32"/>
        <v>14917.667336</v>
      </c>
      <c r="BM62" s="387">
        <f t="shared" si="33"/>
        <v>0</v>
      </c>
      <c r="BN62" s="387">
        <f t="shared" si="54"/>
        <v>13750</v>
      </c>
      <c r="BO62" s="387">
        <f t="shared" si="55"/>
        <v>0</v>
      </c>
      <c r="BP62" s="387">
        <f t="shared" si="56"/>
        <v>4411.7215999999999</v>
      </c>
      <c r="BQ62" s="387">
        <f t="shared" si="57"/>
        <v>1031.7736</v>
      </c>
      <c r="BR62" s="387">
        <f t="shared" si="58"/>
        <v>7955.3302400000002</v>
      </c>
      <c r="BS62" s="387">
        <f t="shared" si="59"/>
        <v>513.04052799999999</v>
      </c>
      <c r="BT62" s="387">
        <f t="shared" si="60"/>
        <v>0</v>
      </c>
      <c r="BU62" s="387">
        <f t="shared" si="61"/>
        <v>393.85288800000001</v>
      </c>
      <c r="BV62" s="387">
        <f t="shared" si="62"/>
        <v>92.503839999999997</v>
      </c>
      <c r="BW62" s="387">
        <f t="shared" si="63"/>
        <v>0</v>
      </c>
      <c r="BX62" s="387">
        <f t="shared" si="34"/>
        <v>14398.222695999999</v>
      </c>
      <c r="BY62" s="387">
        <f t="shared" si="35"/>
        <v>0</v>
      </c>
      <c r="BZ62" s="387">
        <f t="shared" si="36"/>
        <v>1250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-540.79168000000072</v>
      </c>
      <c r="CE62" s="387">
        <f t="shared" si="66"/>
        <v>0</v>
      </c>
      <c r="CF62" s="387">
        <f t="shared" si="67"/>
        <v>0</v>
      </c>
      <c r="CG62" s="387">
        <f t="shared" si="68"/>
        <v>0</v>
      </c>
      <c r="CH62" s="387">
        <f t="shared" si="69"/>
        <v>21.347039999999996</v>
      </c>
      <c r="CI62" s="387">
        <f t="shared" si="70"/>
        <v>0</v>
      </c>
      <c r="CJ62" s="387">
        <f t="shared" si="39"/>
        <v>-519.44464000000073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0229-00</v>
      </c>
    </row>
    <row r="63" spans="1:92" ht="15.75" thickBot="1" x14ac:dyDescent="0.3">
      <c r="A63" s="377" t="s">
        <v>162</v>
      </c>
      <c r="B63" s="377" t="s">
        <v>163</v>
      </c>
      <c r="C63" s="377" t="s">
        <v>484</v>
      </c>
      <c r="D63" s="377" t="s">
        <v>189</v>
      </c>
      <c r="E63" s="377" t="s">
        <v>166</v>
      </c>
      <c r="F63" s="378" t="s">
        <v>167</v>
      </c>
      <c r="G63" s="377" t="s">
        <v>168</v>
      </c>
      <c r="H63" s="379"/>
      <c r="I63" s="379"/>
      <c r="J63" s="377" t="s">
        <v>186</v>
      </c>
      <c r="K63" s="377" t="s">
        <v>190</v>
      </c>
      <c r="L63" s="377" t="s">
        <v>191</v>
      </c>
      <c r="M63" s="377" t="s">
        <v>172</v>
      </c>
      <c r="N63" s="377" t="s">
        <v>173</v>
      </c>
      <c r="O63" s="380">
        <v>1</v>
      </c>
      <c r="P63" s="385">
        <v>1</v>
      </c>
      <c r="Q63" s="385">
        <v>1</v>
      </c>
      <c r="R63" s="381">
        <v>80</v>
      </c>
      <c r="S63" s="385">
        <v>1</v>
      </c>
      <c r="T63" s="381">
        <v>85643.13</v>
      </c>
      <c r="U63" s="381">
        <v>0</v>
      </c>
      <c r="V63" s="381">
        <v>30072.95</v>
      </c>
      <c r="W63" s="381">
        <v>95035.199999999997</v>
      </c>
      <c r="X63" s="381">
        <v>32424.11</v>
      </c>
      <c r="Y63" s="381">
        <v>95035.199999999997</v>
      </c>
      <c r="Z63" s="381">
        <v>32980.35</v>
      </c>
      <c r="AA63" s="377" t="s">
        <v>485</v>
      </c>
      <c r="AB63" s="377" t="s">
        <v>388</v>
      </c>
      <c r="AC63" s="377" t="s">
        <v>486</v>
      </c>
      <c r="AD63" s="377" t="s">
        <v>487</v>
      </c>
      <c r="AE63" s="377" t="s">
        <v>190</v>
      </c>
      <c r="AF63" s="377" t="s">
        <v>196</v>
      </c>
      <c r="AG63" s="377" t="s">
        <v>179</v>
      </c>
      <c r="AH63" s="382">
        <v>45.69</v>
      </c>
      <c r="AI63" s="382">
        <v>10593.7</v>
      </c>
      <c r="AJ63" s="377" t="s">
        <v>180</v>
      </c>
      <c r="AK63" s="377" t="s">
        <v>181</v>
      </c>
      <c r="AL63" s="377" t="s">
        <v>182</v>
      </c>
      <c r="AM63" s="377" t="s">
        <v>183</v>
      </c>
      <c r="AN63" s="377" t="s">
        <v>66</v>
      </c>
      <c r="AO63" s="380">
        <v>80</v>
      </c>
      <c r="AP63" s="385">
        <v>1</v>
      </c>
      <c r="AQ63" s="385">
        <v>1</v>
      </c>
      <c r="AR63" s="383" t="s">
        <v>184</v>
      </c>
      <c r="AS63" s="387">
        <f t="shared" si="27"/>
        <v>1</v>
      </c>
      <c r="AT63">
        <f t="shared" si="28"/>
        <v>1</v>
      </c>
      <c r="AU63" s="387">
        <f>IF(AT63=0,"",IF(AND(AT63=1,M63="F",SUMIF(C2:C76,C63,AS2:AS76)&lt;=1),SUMIF(C2:C76,C63,AS2:AS76),IF(AND(AT63=1,M63="F",SUMIF(C2:C76,C63,AS2:AS76)&gt;1),1,"")))</f>
        <v>1</v>
      </c>
      <c r="AV63" s="387" t="str">
        <f>IF(AT63=0,"",IF(AND(AT63=3,M63="F",SUMIF(C2:C76,C63,AS2:AS76)&lt;=1),SUMIF(C2:C76,C63,AS2:AS76),IF(AND(AT63=3,M63="F",SUMIF(C2:C76,C63,AS2:AS76)&gt;1),1,"")))</f>
        <v/>
      </c>
      <c r="AW63" s="387">
        <f>SUMIF(C2:C76,C63,O2:O76)</f>
        <v>1</v>
      </c>
      <c r="AX63" s="387">
        <f>IF(AND(M63="F",AS63&lt;&gt;0),SUMIF(C2:C76,C63,W2:W76),0)</f>
        <v>95035.199999999997</v>
      </c>
      <c r="AY63" s="387">
        <f t="shared" si="29"/>
        <v>95035.199999999997</v>
      </c>
      <c r="AZ63" s="387" t="str">
        <f t="shared" si="30"/>
        <v/>
      </c>
      <c r="BA63" s="387">
        <f t="shared" si="31"/>
        <v>0</v>
      </c>
      <c r="BB63" s="387">
        <f t="shared" si="44"/>
        <v>12500</v>
      </c>
      <c r="BC63" s="387">
        <f t="shared" si="45"/>
        <v>0</v>
      </c>
      <c r="BD63" s="387">
        <f t="shared" si="46"/>
        <v>5892.1823999999997</v>
      </c>
      <c r="BE63" s="387">
        <f t="shared" si="47"/>
        <v>1378.0104000000001</v>
      </c>
      <c r="BF63" s="387">
        <f t="shared" si="48"/>
        <v>11347.202880000001</v>
      </c>
      <c r="BG63" s="387">
        <f t="shared" si="49"/>
        <v>685.20379200000002</v>
      </c>
      <c r="BH63" s="387">
        <f t="shared" si="50"/>
        <v>0</v>
      </c>
      <c r="BI63" s="387">
        <f t="shared" si="51"/>
        <v>526.01983199999995</v>
      </c>
      <c r="BJ63" s="387">
        <f t="shared" si="52"/>
        <v>95.035200000000003</v>
      </c>
      <c r="BK63" s="387">
        <f t="shared" si="53"/>
        <v>0</v>
      </c>
      <c r="BL63" s="387">
        <f t="shared" si="32"/>
        <v>19923.654503999998</v>
      </c>
      <c r="BM63" s="387">
        <f t="shared" si="33"/>
        <v>0</v>
      </c>
      <c r="BN63" s="387">
        <f t="shared" si="54"/>
        <v>13750</v>
      </c>
      <c r="BO63" s="387">
        <f t="shared" si="55"/>
        <v>0</v>
      </c>
      <c r="BP63" s="387">
        <f t="shared" si="56"/>
        <v>5892.1823999999997</v>
      </c>
      <c r="BQ63" s="387">
        <f t="shared" si="57"/>
        <v>1378.0104000000001</v>
      </c>
      <c r="BR63" s="387">
        <f t="shared" si="58"/>
        <v>10624.935359999999</v>
      </c>
      <c r="BS63" s="387">
        <f t="shared" si="59"/>
        <v>685.20379200000002</v>
      </c>
      <c r="BT63" s="387">
        <f t="shared" si="60"/>
        <v>0</v>
      </c>
      <c r="BU63" s="387">
        <f t="shared" si="61"/>
        <v>526.01983199999995</v>
      </c>
      <c r="BV63" s="387">
        <f t="shared" si="62"/>
        <v>123.54575999999999</v>
      </c>
      <c r="BW63" s="387">
        <f t="shared" si="63"/>
        <v>0</v>
      </c>
      <c r="BX63" s="387">
        <f t="shared" si="34"/>
        <v>19229.897543999999</v>
      </c>
      <c r="BY63" s="387">
        <f t="shared" si="35"/>
        <v>0</v>
      </c>
      <c r="BZ63" s="387">
        <f t="shared" si="36"/>
        <v>1250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-722.2675200000009</v>
      </c>
      <c r="CE63" s="387">
        <f t="shared" si="66"/>
        <v>0</v>
      </c>
      <c r="CF63" s="387">
        <f t="shared" si="67"/>
        <v>0</v>
      </c>
      <c r="CG63" s="387">
        <f t="shared" si="68"/>
        <v>0</v>
      </c>
      <c r="CH63" s="387">
        <f t="shared" si="69"/>
        <v>28.510559999999991</v>
      </c>
      <c r="CI63" s="387">
        <f t="shared" si="70"/>
        <v>0</v>
      </c>
      <c r="CJ63" s="387">
        <f t="shared" si="39"/>
        <v>-693.75696000000096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0229-00</v>
      </c>
    </row>
    <row r="64" spans="1:92" ht="15.75" thickBot="1" x14ac:dyDescent="0.3">
      <c r="A64" s="377" t="s">
        <v>162</v>
      </c>
      <c r="B64" s="377" t="s">
        <v>163</v>
      </c>
      <c r="C64" s="377" t="s">
        <v>488</v>
      </c>
      <c r="D64" s="377" t="s">
        <v>165</v>
      </c>
      <c r="E64" s="377" t="s">
        <v>166</v>
      </c>
      <c r="F64" s="378" t="s">
        <v>167</v>
      </c>
      <c r="G64" s="377" t="s">
        <v>168</v>
      </c>
      <c r="H64" s="379"/>
      <c r="I64" s="379"/>
      <c r="J64" s="377" t="s">
        <v>186</v>
      </c>
      <c r="K64" s="377" t="s">
        <v>170</v>
      </c>
      <c r="L64" s="377" t="s">
        <v>171</v>
      </c>
      <c r="M64" s="377" t="s">
        <v>187</v>
      </c>
      <c r="N64" s="377" t="s">
        <v>173</v>
      </c>
      <c r="O64" s="380">
        <v>0</v>
      </c>
      <c r="P64" s="385">
        <v>1</v>
      </c>
      <c r="Q64" s="385">
        <v>1</v>
      </c>
      <c r="R64" s="381">
        <v>80</v>
      </c>
      <c r="S64" s="385">
        <v>1</v>
      </c>
      <c r="T64" s="381">
        <v>0</v>
      </c>
      <c r="U64" s="381">
        <v>0</v>
      </c>
      <c r="V64" s="381">
        <v>0</v>
      </c>
      <c r="W64" s="381">
        <v>62275.199999999997</v>
      </c>
      <c r="X64" s="381">
        <v>28023.84</v>
      </c>
      <c r="Y64" s="381">
        <v>62275.199999999997</v>
      </c>
      <c r="Z64" s="381">
        <v>29020.240000000002</v>
      </c>
      <c r="AA64" s="379"/>
      <c r="AB64" s="377" t="s">
        <v>45</v>
      </c>
      <c r="AC64" s="377" t="s">
        <v>45</v>
      </c>
      <c r="AD64" s="379"/>
      <c r="AE64" s="379"/>
      <c r="AF64" s="379"/>
      <c r="AG64" s="379"/>
      <c r="AH64" s="380">
        <v>0</v>
      </c>
      <c r="AI64" s="380">
        <v>0</v>
      </c>
      <c r="AJ64" s="379"/>
      <c r="AK64" s="379"/>
      <c r="AL64" s="377" t="s">
        <v>182</v>
      </c>
      <c r="AM64" s="379"/>
      <c r="AN64" s="379"/>
      <c r="AO64" s="380">
        <v>0</v>
      </c>
      <c r="AP64" s="385">
        <v>0</v>
      </c>
      <c r="AQ64" s="385">
        <v>0</v>
      </c>
      <c r="AR64" s="384"/>
      <c r="AS64" s="387">
        <f t="shared" si="27"/>
        <v>0</v>
      </c>
      <c r="AT64">
        <f t="shared" si="28"/>
        <v>0</v>
      </c>
      <c r="AU64" s="387" t="str">
        <f>IF(AT64=0,"",IF(AND(AT64=1,M64="F",SUMIF(C2:C76,C64,AS2:AS76)&lt;=1),SUMIF(C2:C76,C64,AS2:AS76),IF(AND(AT64=1,M64="F",SUMIF(C2:C76,C64,AS2:AS76)&gt;1),1,"")))</f>
        <v/>
      </c>
      <c r="AV64" s="387" t="str">
        <f>IF(AT64=0,"",IF(AND(AT64=3,M64="F",SUMIF(C2:C76,C64,AS2:AS76)&lt;=1),SUMIF(C2:C76,C64,AS2:AS76),IF(AND(AT64=3,M64="F",SUMIF(C2:C76,C64,AS2:AS76)&gt;1),1,"")))</f>
        <v/>
      </c>
      <c r="AW64" s="387">
        <f>SUMIF(C2:C76,C64,O2:O76)</f>
        <v>0</v>
      </c>
      <c r="AX64" s="387">
        <f>IF(AND(M64="F",AS64&lt;&gt;0),SUMIF(C2:C76,C64,W2:W76),0)</f>
        <v>0</v>
      </c>
      <c r="AY64" s="387" t="str">
        <f t="shared" si="29"/>
        <v/>
      </c>
      <c r="AZ64" s="387" t="str">
        <f t="shared" si="30"/>
        <v/>
      </c>
      <c r="BA64" s="387">
        <f t="shared" si="31"/>
        <v>0</v>
      </c>
      <c r="BB64" s="387">
        <f t="shared" si="44"/>
        <v>0</v>
      </c>
      <c r="BC64" s="387">
        <f t="shared" si="45"/>
        <v>0</v>
      </c>
      <c r="BD64" s="387">
        <f t="shared" si="46"/>
        <v>0</v>
      </c>
      <c r="BE64" s="387">
        <f t="shared" si="47"/>
        <v>0</v>
      </c>
      <c r="BF64" s="387">
        <f t="shared" si="48"/>
        <v>0</v>
      </c>
      <c r="BG64" s="387">
        <f t="shared" si="49"/>
        <v>0</v>
      </c>
      <c r="BH64" s="387">
        <f t="shared" si="50"/>
        <v>0</v>
      </c>
      <c r="BI64" s="387">
        <f t="shared" si="51"/>
        <v>0</v>
      </c>
      <c r="BJ64" s="387">
        <f t="shared" si="52"/>
        <v>0</v>
      </c>
      <c r="BK64" s="387">
        <f t="shared" si="53"/>
        <v>0</v>
      </c>
      <c r="BL64" s="387">
        <f t="shared" si="32"/>
        <v>0</v>
      </c>
      <c r="BM64" s="387">
        <f t="shared" si="33"/>
        <v>0</v>
      </c>
      <c r="BN64" s="387">
        <f t="shared" si="54"/>
        <v>0</v>
      </c>
      <c r="BO64" s="387">
        <f t="shared" si="55"/>
        <v>0</v>
      </c>
      <c r="BP64" s="387">
        <f t="shared" si="56"/>
        <v>0</v>
      </c>
      <c r="BQ64" s="387">
        <f t="shared" si="57"/>
        <v>0</v>
      </c>
      <c r="BR64" s="387">
        <f t="shared" si="58"/>
        <v>0</v>
      </c>
      <c r="BS64" s="387">
        <f t="shared" si="59"/>
        <v>0</v>
      </c>
      <c r="BT64" s="387">
        <f t="shared" si="60"/>
        <v>0</v>
      </c>
      <c r="BU64" s="387">
        <f t="shared" si="61"/>
        <v>0</v>
      </c>
      <c r="BV64" s="387">
        <f t="shared" si="62"/>
        <v>0</v>
      </c>
      <c r="BW64" s="387">
        <f t="shared" si="63"/>
        <v>0</v>
      </c>
      <c r="BX64" s="387">
        <f t="shared" si="34"/>
        <v>0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0</v>
      </c>
      <c r="CE64" s="387">
        <f t="shared" si="66"/>
        <v>0</v>
      </c>
      <c r="CF64" s="387">
        <f t="shared" si="67"/>
        <v>0</v>
      </c>
      <c r="CG64" s="387">
        <f t="shared" si="68"/>
        <v>0</v>
      </c>
      <c r="CH64" s="387">
        <f t="shared" si="69"/>
        <v>0</v>
      </c>
      <c r="CI64" s="387">
        <f t="shared" si="70"/>
        <v>0</v>
      </c>
      <c r="CJ64" s="387">
        <f t="shared" si="39"/>
        <v>0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0229-00</v>
      </c>
    </row>
    <row r="65" spans="1:92" ht="15.75" thickBot="1" x14ac:dyDescent="0.3">
      <c r="A65" s="377" t="s">
        <v>162</v>
      </c>
      <c r="B65" s="377" t="s">
        <v>163</v>
      </c>
      <c r="C65" s="377" t="s">
        <v>489</v>
      </c>
      <c r="D65" s="377" t="s">
        <v>490</v>
      </c>
      <c r="E65" s="377" t="s">
        <v>166</v>
      </c>
      <c r="F65" s="378" t="s">
        <v>167</v>
      </c>
      <c r="G65" s="377" t="s">
        <v>168</v>
      </c>
      <c r="H65" s="379"/>
      <c r="I65" s="379"/>
      <c r="J65" s="377" t="s">
        <v>186</v>
      </c>
      <c r="K65" s="377" t="s">
        <v>491</v>
      </c>
      <c r="L65" s="377" t="s">
        <v>257</v>
      </c>
      <c r="M65" s="377" t="s">
        <v>172</v>
      </c>
      <c r="N65" s="377" t="s">
        <v>173</v>
      </c>
      <c r="O65" s="380">
        <v>1</v>
      </c>
      <c r="P65" s="385">
        <v>1</v>
      </c>
      <c r="Q65" s="385">
        <v>1</v>
      </c>
      <c r="R65" s="381">
        <v>80</v>
      </c>
      <c r="S65" s="385">
        <v>1</v>
      </c>
      <c r="T65" s="381">
        <v>57847.51</v>
      </c>
      <c r="U65" s="381">
        <v>0</v>
      </c>
      <c r="V65" s="381">
        <v>23920.65</v>
      </c>
      <c r="W65" s="381">
        <v>59696</v>
      </c>
      <c r="X65" s="381">
        <v>25015.24</v>
      </c>
      <c r="Y65" s="381">
        <v>59696</v>
      </c>
      <c r="Z65" s="381">
        <v>25829.46</v>
      </c>
      <c r="AA65" s="377" t="s">
        <v>492</v>
      </c>
      <c r="AB65" s="377" t="s">
        <v>493</v>
      </c>
      <c r="AC65" s="377" t="s">
        <v>494</v>
      </c>
      <c r="AD65" s="377" t="s">
        <v>495</v>
      </c>
      <c r="AE65" s="377" t="s">
        <v>491</v>
      </c>
      <c r="AF65" s="377" t="s">
        <v>411</v>
      </c>
      <c r="AG65" s="377" t="s">
        <v>179</v>
      </c>
      <c r="AH65" s="382">
        <v>28.7</v>
      </c>
      <c r="AI65" s="382">
        <v>14118.8</v>
      </c>
      <c r="AJ65" s="377" t="s">
        <v>180</v>
      </c>
      <c r="AK65" s="377" t="s">
        <v>181</v>
      </c>
      <c r="AL65" s="377" t="s">
        <v>182</v>
      </c>
      <c r="AM65" s="377" t="s">
        <v>183</v>
      </c>
      <c r="AN65" s="377" t="s">
        <v>66</v>
      </c>
      <c r="AO65" s="380">
        <v>80</v>
      </c>
      <c r="AP65" s="385">
        <v>1</v>
      </c>
      <c r="AQ65" s="385">
        <v>1</v>
      </c>
      <c r="AR65" s="383" t="s">
        <v>184</v>
      </c>
      <c r="AS65" s="387">
        <f t="shared" si="27"/>
        <v>1</v>
      </c>
      <c r="AT65">
        <f t="shared" si="28"/>
        <v>1</v>
      </c>
      <c r="AU65" s="387">
        <f>IF(AT65=0,"",IF(AND(AT65=1,M65="F",SUMIF(C2:C76,C65,AS2:AS76)&lt;=1),SUMIF(C2:C76,C65,AS2:AS76),IF(AND(AT65=1,M65="F",SUMIF(C2:C76,C65,AS2:AS76)&gt;1),1,"")))</f>
        <v>1</v>
      </c>
      <c r="AV65" s="387" t="str">
        <f>IF(AT65=0,"",IF(AND(AT65=3,M65="F",SUMIF(C2:C76,C65,AS2:AS76)&lt;=1),SUMIF(C2:C76,C65,AS2:AS76),IF(AND(AT65=3,M65="F",SUMIF(C2:C76,C65,AS2:AS76)&gt;1),1,"")))</f>
        <v/>
      </c>
      <c r="AW65" s="387">
        <f>SUMIF(C2:C76,C65,O2:O76)</f>
        <v>1</v>
      </c>
      <c r="AX65" s="387">
        <f>IF(AND(M65="F",AS65&lt;&gt;0),SUMIF(C2:C76,C65,W2:W76),0)</f>
        <v>59696</v>
      </c>
      <c r="AY65" s="387">
        <f t="shared" si="29"/>
        <v>59696</v>
      </c>
      <c r="AZ65" s="387" t="str">
        <f t="shared" si="30"/>
        <v/>
      </c>
      <c r="BA65" s="387">
        <f t="shared" si="31"/>
        <v>0</v>
      </c>
      <c r="BB65" s="387">
        <f t="shared" si="44"/>
        <v>12500</v>
      </c>
      <c r="BC65" s="387">
        <f t="shared" si="45"/>
        <v>0</v>
      </c>
      <c r="BD65" s="387">
        <f t="shared" si="46"/>
        <v>3701.152</v>
      </c>
      <c r="BE65" s="387">
        <f t="shared" si="47"/>
        <v>865.5920000000001</v>
      </c>
      <c r="BF65" s="387">
        <f t="shared" si="48"/>
        <v>7127.7024000000001</v>
      </c>
      <c r="BG65" s="387">
        <f t="shared" si="49"/>
        <v>430.40816000000001</v>
      </c>
      <c r="BH65" s="387">
        <f t="shared" si="50"/>
        <v>0</v>
      </c>
      <c r="BI65" s="387">
        <f t="shared" si="51"/>
        <v>330.41735999999997</v>
      </c>
      <c r="BJ65" s="387">
        <f t="shared" si="52"/>
        <v>59.695999999999998</v>
      </c>
      <c r="BK65" s="387">
        <f t="shared" si="53"/>
        <v>0</v>
      </c>
      <c r="BL65" s="387">
        <f t="shared" si="32"/>
        <v>12514.967920000001</v>
      </c>
      <c r="BM65" s="387">
        <f t="shared" si="33"/>
        <v>0</v>
      </c>
      <c r="BN65" s="387">
        <f t="shared" si="54"/>
        <v>13750</v>
      </c>
      <c r="BO65" s="387">
        <f t="shared" si="55"/>
        <v>0</v>
      </c>
      <c r="BP65" s="387">
        <f t="shared" si="56"/>
        <v>3701.152</v>
      </c>
      <c r="BQ65" s="387">
        <f t="shared" si="57"/>
        <v>865.5920000000001</v>
      </c>
      <c r="BR65" s="387">
        <f t="shared" si="58"/>
        <v>6674.0127999999995</v>
      </c>
      <c r="BS65" s="387">
        <f t="shared" si="59"/>
        <v>430.40816000000001</v>
      </c>
      <c r="BT65" s="387">
        <f t="shared" si="60"/>
        <v>0</v>
      </c>
      <c r="BU65" s="387">
        <f t="shared" si="61"/>
        <v>330.41735999999997</v>
      </c>
      <c r="BV65" s="387">
        <f t="shared" si="62"/>
        <v>77.604799999999997</v>
      </c>
      <c r="BW65" s="387">
        <f t="shared" si="63"/>
        <v>0</v>
      </c>
      <c r="BX65" s="387">
        <f t="shared" si="34"/>
        <v>12079.187119999999</v>
      </c>
      <c r="BY65" s="387">
        <f t="shared" si="35"/>
        <v>0</v>
      </c>
      <c r="BZ65" s="387">
        <f t="shared" si="36"/>
        <v>1250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-453.68960000000055</v>
      </c>
      <c r="CE65" s="387">
        <f t="shared" si="66"/>
        <v>0</v>
      </c>
      <c r="CF65" s="387">
        <f t="shared" si="67"/>
        <v>0</v>
      </c>
      <c r="CG65" s="387">
        <f t="shared" si="68"/>
        <v>0</v>
      </c>
      <c r="CH65" s="387">
        <f t="shared" si="69"/>
        <v>17.908799999999996</v>
      </c>
      <c r="CI65" s="387">
        <f t="shared" si="70"/>
        <v>0</v>
      </c>
      <c r="CJ65" s="387">
        <f t="shared" si="39"/>
        <v>-435.78080000000057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0229-00</v>
      </c>
    </row>
    <row r="66" spans="1:92" ht="15.75" thickBot="1" x14ac:dyDescent="0.3">
      <c r="A66" s="377" t="s">
        <v>162</v>
      </c>
      <c r="B66" s="377" t="s">
        <v>163</v>
      </c>
      <c r="C66" s="377" t="s">
        <v>496</v>
      </c>
      <c r="D66" s="377" t="s">
        <v>165</v>
      </c>
      <c r="E66" s="377" t="s">
        <v>166</v>
      </c>
      <c r="F66" s="378" t="s">
        <v>167</v>
      </c>
      <c r="G66" s="377" t="s">
        <v>168</v>
      </c>
      <c r="H66" s="379"/>
      <c r="I66" s="379"/>
      <c r="J66" s="377" t="s">
        <v>169</v>
      </c>
      <c r="K66" s="377" t="s">
        <v>170</v>
      </c>
      <c r="L66" s="377" t="s">
        <v>171</v>
      </c>
      <c r="M66" s="377" t="s">
        <v>172</v>
      </c>
      <c r="N66" s="377" t="s">
        <v>173</v>
      </c>
      <c r="O66" s="380">
        <v>1</v>
      </c>
      <c r="P66" s="385">
        <v>1</v>
      </c>
      <c r="Q66" s="385">
        <v>1</v>
      </c>
      <c r="R66" s="381">
        <v>80</v>
      </c>
      <c r="S66" s="385">
        <v>1</v>
      </c>
      <c r="T66" s="381">
        <v>46131.360000000001</v>
      </c>
      <c r="U66" s="381">
        <v>0</v>
      </c>
      <c r="V66" s="381">
        <v>18140</v>
      </c>
      <c r="W66" s="381">
        <v>60611.199999999997</v>
      </c>
      <c r="X66" s="381">
        <v>25207.1</v>
      </c>
      <c r="Y66" s="381">
        <v>60611.199999999997</v>
      </c>
      <c r="Z66" s="381">
        <v>26014.63</v>
      </c>
      <c r="AA66" s="377" t="s">
        <v>497</v>
      </c>
      <c r="AB66" s="377" t="s">
        <v>498</v>
      </c>
      <c r="AC66" s="377" t="s">
        <v>499</v>
      </c>
      <c r="AD66" s="377" t="s">
        <v>500</v>
      </c>
      <c r="AE66" s="377" t="s">
        <v>479</v>
      </c>
      <c r="AF66" s="377" t="s">
        <v>411</v>
      </c>
      <c r="AG66" s="377" t="s">
        <v>179</v>
      </c>
      <c r="AH66" s="382">
        <v>29.14</v>
      </c>
      <c r="AI66" s="382">
        <v>15969.9</v>
      </c>
      <c r="AJ66" s="377" t="s">
        <v>180</v>
      </c>
      <c r="AK66" s="377" t="s">
        <v>181</v>
      </c>
      <c r="AL66" s="377" t="s">
        <v>182</v>
      </c>
      <c r="AM66" s="377" t="s">
        <v>183</v>
      </c>
      <c r="AN66" s="377" t="s">
        <v>66</v>
      </c>
      <c r="AO66" s="380">
        <v>80</v>
      </c>
      <c r="AP66" s="385">
        <v>1</v>
      </c>
      <c r="AQ66" s="385">
        <v>1</v>
      </c>
      <c r="AR66" s="383">
        <v>3</v>
      </c>
      <c r="AS66" s="387">
        <f t="shared" si="27"/>
        <v>1</v>
      </c>
      <c r="AT66">
        <f t="shared" si="28"/>
        <v>1</v>
      </c>
      <c r="AU66" s="387">
        <f>IF(AT66=0,"",IF(AND(AT66=1,M66="F",SUMIF(C2:C76,C66,AS2:AS76)&lt;=1),SUMIF(C2:C76,C66,AS2:AS76),IF(AND(AT66=1,M66="F",SUMIF(C2:C76,C66,AS2:AS76)&gt;1),1,"")))</f>
        <v>1</v>
      </c>
      <c r="AV66" s="387" t="str">
        <f>IF(AT66=0,"",IF(AND(AT66=3,M66="F",SUMIF(C2:C76,C66,AS2:AS76)&lt;=1),SUMIF(C2:C76,C66,AS2:AS76),IF(AND(AT66=3,M66="F",SUMIF(C2:C76,C66,AS2:AS76)&gt;1),1,"")))</f>
        <v/>
      </c>
      <c r="AW66" s="387">
        <f>SUMIF(C2:C76,C66,O2:O76)</f>
        <v>1</v>
      </c>
      <c r="AX66" s="387">
        <f>IF(AND(M66="F",AS66&lt;&gt;0),SUMIF(C2:C76,C66,W2:W76),0)</f>
        <v>60611.199999999997</v>
      </c>
      <c r="AY66" s="387">
        <f t="shared" si="29"/>
        <v>60611.199999999997</v>
      </c>
      <c r="AZ66" s="387" t="str">
        <f t="shared" si="30"/>
        <v/>
      </c>
      <c r="BA66" s="387">
        <f t="shared" si="31"/>
        <v>0</v>
      </c>
      <c r="BB66" s="387">
        <f t="shared" ref="BB66:BB76" si="71">IF(AND(AT66=1,AK66="E",AU66&gt;=0.75,AW66=1),Health,IF(AND(AT66=1,AK66="E",AU66&gt;=0.75),Health*P66,IF(AND(AT66=1,AK66="E",AU66&gt;=0.5,AW66=1),PTHealth,IF(AND(AT66=1,AK66="E",AU66&gt;=0.5),PTHealth*P66,0))))</f>
        <v>12500</v>
      </c>
      <c r="BC66" s="387">
        <f t="shared" ref="BC66:BC76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76" si="73">IF(AND(AT66&lt;&gt;0,AX66&gt;=MAXSSDI),SSDI*MAXSSDI*P66,IF(AT66&lt;&gt;0,SSDI*W66,0))</f>
        <v>3757.8943999999997</v>
      </c>
      <c r="BE66" s="387">
        <f t="shared" ref="BE66:BE76" si="74">IF(AT66&lt;&gt;0,SSHI*W66,0)</f>
        <v>878.86239999999998</v>
      </c>
      <c r="BF66" s="387">
        <f t="shared" ref="BF66:BF76" si="75">IF(AND(AT66&lt;&gt;0,AN66&lt;&gt;"NE"),VLOOKUP(AN66,Retirement_Rates,3,FALSE)*W66,0)</f>
        <v>7236.9772800000001</v>
      </c>
      <c r="BG66" s="387">
        <f t="shared" ref="BG66:BG76" si="76">IF(AND(AT66&lt;&gt;0,AJ66&lt;&gt;"PF"),Life*W66,0)</f>
        <v>437.00675200000001</v>
      </c>
      <c r="BH66" s="387">
        <f t="shared" ref="BH66:BH76" si="77">IF(AND(AT66&lt;&gt;0,AM66="Y"),UI*W66,0)</f>
        <v>0</v>
      </c>
      <c r="BI66" s="387">
        <f t="shared" ref="BI66:BI76" si="78">IF(AND(AT66&lt;&gt;0,N66&lt;&gt;"NR"),DHR*W66,0)</f>
        <v>335.48299199999997</v>
      </c>
      <c r="BJ66" s="387">
        <f t="shared" ref="BJ66:BJ76" si="79">IF(AT66&lt;&gt;0,WC*W66,0)</f>
        <v>60.611199999999997</v>
      </c>
      <c r="BK66" s="387">
        <f t="shared" ref="BK66:BK76" si="80">IF(OR(AND(AT66&lt;&gt;0,AJ66&lt;&gt;"PF",AN66&lt;&gt;"NE",AG66&lt;&gt;"A"),AND(AL66="E",OR(AT66=1,AT66=3))),Sick*W66,0)</f>
        <v>0</v>
      </c>
      <c r="BL66" s="387">
        <f t="shared" si="32"/>
        <v>12706.835023999996</v>
      </c>
      <c r="BM66" s="387">
        <f t="shared" si="33"/>
        <v>0</v>
      </c>
      <c r="BN66" s="387">
        <f t="shared" ref="BN66:BN76" si="81">IF(AND(AT66=1,AK66="E",AU66&gt;=0.75,AW66=1),HealthBY,IF(AND(AT66=1,AK66="E",AU66&gt;=0.75),HealthBY*P66,IF(AND(AT66=1,AK66="E",AU66&gt;=0.5,AW66=1),PTHealthBY,IF(AND(AT66=1,AK66="E",AU66&gt;=0.5),PTHealthBY*P66,0))))</f>
        <v>13750</v>
      </c>
      <c r="BO66" s="387">
        <f t="shared" ref="BO66:BO76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76" si="83">IF(AND(AT66&lt;&gt;0,(AX66+BA66)&gt;=MAXSSDIBY),SSDIBY*MAXSSDIBY*P66,IF(AT66&lt;&gt;0,SSDIBY*W66,0))</f>
        <v>3757.8943999999997</v>
      </c>
      <c r="BQ66" s="387">
        <f t="shared" ref="BQ66:BQ76" si="84">IF(AT66&lt;&gt;0,SSHIBY*W66,0)</f>
        <v>878.86239999999998</v>
      </c>
      <c r="BR66" s="387">
        <f t="shared" ref="BR66:BR76" si="85">IF(AND(AT66&lt;&gt;0,AN66&lt;&gt;"NE"),VLOOKUP(AN66,Retirement_Rates,4,FALSE)*W66,0)</f>
        <v>6776.332159999999</v>
      </c>
      <c r="BS66" s="387">
        <f t="shared" ref="BS66:BS76" si="86">IF(AND(AT66&lt;&gt;0,AJ66&lt;&gt;"PF"),LifeBY*W66,0)</f>
        <v>437.00675200000001</v>
      </c>
      <c r="BT66" s="387">
        <f t="shared" ref="BT66:BT76" si="87">IF(AND(AT66&lt;&gt;0,AM66="Y"),UIBY*W66,0)</f>
        <v>0</v>
      </c>
      <c r="BU66" s="387">
        <f t="shared" ref="BU66:BU76" si="88">IF(AND(AT66&lt;&gt;0,N66&lt;&gt;"NR"),DHRBY*W66,0)</f>
        <v>335.48299199999997</v>
      </c>
      <c r="BV66" s="387">
        <f t="shared" ref="BV66:BV76" si="89">IF(AT66&lt;&gt;0,WCBY*W66,0)</f>
        <v>78.79455999999999</v>
      </c>
      <c r="BW66" s="387">
        <f t="shared" ref="BW66:BW76" si="90">IF(OR(AND(AT66&lt;&gt;0,AJ66&lt;&gt;"PF",AN66&lt;&gt;"NE",AG66&lt;&gt;"A"),AND(AL66="E",OR(AT66=1,AT66=3))),SickBY*W66,0)</f>
        <v>0</v>
      </c>
      <c r="BX66" s="387">
        <f t="shared" si="34"/>
        <v>12264.373263999996</v>
      </c>
      <c r="BY66" s="387">
        <f t="shared" si="35"/>
        <v>0</v>
      </c>
      <c r="BZ66" s="387">
        <f t="shared" si="36"/>
        <v>1250</v>
      </c>
      <c r="CA66" s="387">
        <f t="shared" si="37"/>
        <v>0</v>
      </c>
      <c r="CB66" s="387">
        <f t="shared" si="38"/>
        <v>0</v>
      </c>
      <c r="CC66" s="387">
        <f t="shared" ref="CC66:CC76" si="91">IF(AT66&lt;&gt;0,SSHICHG*Y66,0)</f>
        <v>0</v>
      </c>
      <c r="CD66" s="387">
        <f t="shared" ref="CD66:CD76" si="92">IF(AND(AT66&lt;&gt;0,AN66&lt;&gt;"NE"),VLOOKUP(AN66,Retirement_Rates,5,FALSE)*Y66,0)</f>
        <v>-460.64512000000053</v>
      </c>
      <c r="CE66" s="387">
        <f t="shared" ref="CE66:CE76" si="93">IF(AND(AT66&lt;&gt;0,AJ66&lt;&gt;"PF"),LifeCHG*Y66,0)</f>
        <v>0</v>
      </c>
      <c r="CF66" s="387">
        <f t="shared" ref="CF66:CF76" si="94">IF(AND(AT66&lt;&gt;0,AM66="Y"),UICHG*Y66,0)</f>
        <v>0</v>
      </c>
      <c r="CG66" s="387">
        <f t="shared" ref="CG66:CG76" si="95">IF(AND(AT66&lt;&gt;0,N66&lt;&gt;"NR"),DHRCHG*Y66,0)</f>
        <v>0</v>
      </c>
      <c r="CH66" s="387">
        <f t="shared" ref="CH66:CH76" si="96">IF(AT66&lt;&gt;0,WCCHG*Y66,0)</f>
        <v>18.183359999999993</v>
      </c>
      <c r="CI66" s="387">
        <f t="shared" ref="CI66:CI76" si="97">IF(OR(AND(AT66&lt;&gt;0,AJ66&lt;&gt;"PF",AN66&lt;&gt;"NE",AG66&lt;&gt;"A"),AND(AL66="E",OR(AT66=1,AT66=3))),SickCHG*Y66,0)</f>
        <v>0</v>
      </c>
      <c r="CJ66" s="387">
        <f t="shared" si="39"/>
        <v>-442.46176000000054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0229-00</v>
      </c>
    </row>
    <row r="67" spans="1:92" ht="15.75" thickBot="1" x14ac:dyDescent="0.3">
      <c r="A67" s="377" t="s">
        <v>162</v>
      </c>
      <c r="B67" s="377" t="s">
        <v>163</v>
      </c>
      <c r="C67" s="377" t="s">
        <v>501</v>
      </c>
      <c r="D67" s="377" t="s">
        <v>189</v>
      </c>
      <c r="E67" s="377" t="s">
        <v>166</v>
      </c>
      <c r="F67" s="378" t="s">
        <v>167</v>
      </c>
      <c r="G67" s="377" t="s">
        <v>168</v>
      </c>
      <c r="H67" s="379"/>
      <c r="I67" s="379"/>
      <c r="J67" s="377" t="s">
        <v>186</v>
      </c>
      <c r="K67" s="377" t="s">
        <v>190</v>
      </c>
      <c r="L67" s="377" t="s">
        <v>191</v>
      </c>
      <c r="M67" s="377" t="s">
        <v>187</v>
      </c>
      <c r="N67" s="377" t="s">
        <v>173</v>
      </c>
      <c r="O67" s="380">
        <v>0</v>
      </c>
      <c r="P67" s="385">
        <v>1</v>
      </c>
      <c r="Q67" s="385">
        <v>1</v>
      </c>
      <c r="R67" s="381">
        <v>80</v>
      </c>
      <c r="S67" s="385">
        <v>1</v>
      </c>
      <c r="T67" s="381">
        <v>0</v>
      </c>
      <c r="U67" s="381">
        <v>0</v>
      </c>
      <c r="V67" s="381">
        <v>0</v>
      </c>
      <c r="W67" s="381">
        <v>74547.199999999997</v>
      </c>
      <c r="X67" s="381">
        <v>33546.239999999998</v>
      </c>
      <c r="Y67" s="381">
        <v>74547.199999999997</v>
      </c>
      <c r="Z67" s="381">
        <v>34738.99</v>
      </c>
      <c r="AA67" s="379"/>
      <c r="AB67" s="377" t="s">
        <v>45</v>
      </c>
      <c r="AC67" s="377" t="s">
        <v>45</v>
      </c>
      <c r="AD67" s="379"/>
      <c r="AE67" s="379"/>
      <c r="AF67" s="379"/>
      <c r="AG67" s="379"/>
      <c r="AH67" s="380">
        <v>0</v>
      </c>
      <c r="AI67" s="380">
        <v>0</v>
      </c>
      <c r="AJ67" s="379"/>
      <c r="AK67" s="379"/>
      <c r="AL67" s="377" t="s">
        <v>182</v>
      </c>
      <c r="AM67" s="379"/>
      <c r="AN67" s="379"/>
      <c r="AO67" s="380">
        <v>0</v>
      </c>
      <c r="AP67" s="385">
        <v>0</v>
      </c>
      <c r="AQ67" s="385">
        <v>0</v>
      </c>
      <c r="AR67" s="384"/>
      <c r="AS67" s="387">
        <f t="shared" ref="AS67:AS76" si="98">IF(((AO67/80)*AP67*P67)&gt;1,AQ67,((AO67/80)*AP67*P67))</f>
        <v>0</v>
      </c>
      <c r="AT67">
        <f t="shared" ref="AT67:AT76" si="99">IF(AND(M67="F",N67&lt;&gt;"NG",AS67&lt;&gt;0,AND(AR67&lt;&gt;6,AR67&lt;&gt;36,AR67&lt;&gt;56),AG67&lt;&gt;"A",OR(AG67="H",AJ67="FS")),1,IF(AND(M67="F",N67&lt;&gt;"NG",AS67&lt;&gt;0,AG67="A"),3,0))</f>
        <v>0</v>
      </c>
      <c r="AU67" s="387" t="str">
        <f>IF(AT67=0,"",IF(AND(AT67=1,M67="F",SUMIF(C2:C76,C67,AS2:AS76)&lt;=1),SUMIF(C2:C76,C67,AS2:AS76),IF(AND(AT67=1,M67="F",SUMIF(C2:C76,C67,AS2:AS76)&gt;1),1,"")))</f>
        <v/>
      </c>
      <c r="AV67" s="387" t="str">
        <f>IF(AT67=0,"",IF(AND(AT67=3,M67="F",SUMIF(C2:C76,C67,AS2:AS76)&lt;=1),SUMIF(C2:C76,C67,AS2:AS76),IF(AND(AT67=3,M67="F",SUMIF(C2:C76,C67,AS2:AS76)&gt;1),1,"")))</f>
        <v/>
      </c>
      <c r="AW67" s="387">
        <f>SUMIF(C2:C76,C67,O2:O76)</f>
        <v>0</v>
      </c>
      <c r="AX67" s="387">
        <f>IF(AND(M67="F",AS67&lt;&gt;0),SUMIF(C2:C76,C67,W2:W76),0)</f>
        <v>0</v>
      </c>
      <c r="AY67" s="387" t="str">
        <f t="shared" ref="AY67:AY76" si="100">IF(AT67=1,W67,"")</f>
        <v/>
      </c>
      <c r="AZ67" s="387" t="str">
        <f t="shared" ref="AZ67:AZ76" si="101">IF(AT67=3,W67,"")</f>
        <v/>
      </c>
      <c r="BA67" s="387">
        <f t="shared" ref="BA67:BA76" si="102">IF(AT67=1,Y67-W67,0)</f>
        <v>0</v>
      </c>
      <c r="BB67" s="387">
        <f t="shared" si="71"/>
        <v>0</v>
      </c>
      <c r="BC67" s="387">
        <f t="shared" si="72"/>
        <v>0</v>
      </c>
      <c r="BD67" s="387">
        <f t="shared" si="73"/>
        <v>0</v>
      </c>
      <c r="BE67" s="387">
        <f t="shared" si="74"/>
        <v>0</v>
      </c>
      <c r="BF67" s="387">
        <f t="shared" si="75"/>
        <v>0</v>
      </c>
      <c r="BG67" s="387">
        <f t="shared" si="76"/>
        <v>0</v>
      </c>
      <c r="BH67" s="387">
        <f t="shared" si="77"/>
        <v>0</v>
      </c>
      <c r="BI67" s="387">
        <f t="shared" si="78"/>
        <v>0</v>
      </c>
      <c r="BJ67" s="387">
        <f t="shared" si="79"/>
        <v>0</v>
      </c>
      <c r="BK67" s="387">
        <f t="shared" si="80"/>
        <v>0</v>
      </c>
      <c r="BL67" s="387">
        <f t="shared" ref="BL67:BL76" si="103">IF(AT67=1,SUM(BD67:BK67),0)</f>
        <v>0</v>
      </c>
      <c r="BM67" s="387">
        <f t="shared" ref="BM67:BM76" si="104">IF(AT67=3,SUM(BD67:BK67),0)</f>
        <v>0</v>
      </c>
      <c r="BN67" s="387">
        <f t="shared" si="81"/>
        <v>0</v>
      </c>
      <c r="BO67" s="387">
        <f t="shared" si="82"/>
        <v>0</v>
      </c>
      <c r="BP67" s="387">
        <f t="shared" si="83"/>
        <v>0</v>
      </c>
      <c r="BQ67" s="387">
        <f t="shared" si="84"/>
        <v>0</v>
      </c>
      <c r="BR67" s="387">
        <f t="shared" si="85"/>
        <v>0</v>
      </c>
      <c r="BS67" s="387">
        <f t="shared" si="86"/>
        <v>0</v>
      </c>
      <c r="BT67" s="387">
        <f t="shared" si="87"/>
        <v>0</v>
      </c>
      <c r="BU67" s="387">
        <f t="shared" si="88"/>
        <v>0</v>
      </c>
      <c r="BV67" s="387">
        <f t="shared" si="89"/>
        <v>0</v>
      </c>
      <c r="BW67" s="387">
        <f t="shared" si="90"/>
        <v>0</v>
      </c>
      <c r="BX67" s="387">
        <f t="shared" ref="BX67:BX76" si="105">IF(AT67=1,SUM(BP67:BW67),0)</f>
        <v>0</v>
      </c>
      <c r="BY67" s="387">
        <f t="shared" ref="BY67:BY76" si="106">IF(AT67=3,SUM(BP67:BW67),0)</f>
        <v>0</v>
      </c>
      <c r="BZ67" s="387">
        <f t="shared" ref="BZ67:BZ76" si="107">IF(AT67=1,BN67-BB67,0)</f>
        <v>0</v>
      </c>
      <c r="CA67" s="387">
        <f t="shared" ref="CA67:CA76" si="108">IF(AT67=3,BO67-BC67,0)</f>
        <v>0</v>
      </c>
      <c r="CB67" s="387">
        <f t="shared" ref="CB67:CB76" si="109">BP67-BD67</f>
        <v>0</v>
      </c>
      <c r="CC67" s="387">
        <f t="shared" si="91"/>
        <v>0</v>
      </c>
      <c r="CD67" s="387">
        <f t="shared" si="92"/>
        <v>0</v>
      </c>
      <c r="CE67" s="387">
        <f t="shared" si="93"/>
        <v>0</v>
      </c>
      <c r="CF67" s="387">
        <f t="shared" si="94"/>
        <v>0</v>
      </c>
      <c r="CG67" s="387">
        <f t="shared" si="95"/>
        <v>0</v>
      </c>
      <c r="CH67" s="387">
        <f t="shared" si="96"/>
        <v>0</v>
      </c>
      <c r="CI67" s="387">
        <f t="shared" si="97"/>
        <v>0</v>
      </c>
      <c r="CJ67" s="387">
        <f t="shared" ref="CJ67:CJ76" si="110">IF(AT67=1,SUM(CB67:CI67),0)</f>
        <v>0</v>
      </c>
      <c r="CK67" s="387" t="str">
        <f t="shared" ref="CK67:CK76" si="111">IF(AT67=3,SUM(CB67:CI67),"")</f>
        <v/>
      </c>
      <c r="CL67" s="387" t="str">
        <f t="shared" ref="CL67:CL76" si="112">IF(OR(N67="NG",AG67="D"),(T67+U67),"")</f>
        <v/>
      </c>
      <c r="CM67" s="387" t="str">
        <f t="shared" ref="CM67:CM76" si="113">IF(OR(N67="NG",AG67="D"),V67,"")</f>
        <v/>
      </c>
      <c r="CN67" s="387" t="str">
        <f t="shared" ref="CN67:CN76" si="114">E67 &amp; "-" &amp; F67</f>
        <v>0229-00</v>
      </c>
    </row>
    <row r="68" spans="1:92" ht="15.75" thickBot="1" x14ac:dyDescent="0.3">
      <c r="A68" s="377" t="s">
        <v>162</v>
      </c>
      <c r="B68" s="377" t="s">
        <v>163</v>
      </c>
      <c r="C68" s="377" t="s">
        <v>502</v>
      </c>
      <c r="D68" s="377" t="s">
        <v>503</v>
      </c>
      <c r="E68" s="377" t="s">
        <v>166</v>
      </c>
      <c r="F68" s="378" t="s">
        <v>167</v>
      </c>
      <c r="G68" s="377" t="s">
        <v>168</v>
      </c>
      <c r="H68" s="379"/>
      <c r="I68" s="379"/>
      <c r="J68" s="377" t="s">
        <v>186</v>
      </c>
      <c r="K68" s="377" t="s">
        <v>504</v>
      </c>
      <c r="L68" s="377" t="s">
        <v>468</v>
      </c>
      <c r="M68" s="377" t="s">
        <v>172</v>
      </c>
      <c r="N68" s="377" t="s">
        <v>173</v>
      </c>
      <c r="O68" s="380">
        <v>1</v>
      </c>
      <c r="P68" s="385">
        <v>1</v>
      </c>
      <c r="Q68" s="385">
        <v>1</v>
      </c>
      <c r="R68" s="381">
        <v>80</v>
      </c>
      <c r="S68" s="385">
        <v>1</v>
      </c>
      <c r="T68" s="381">
        <v>57966.47</v>
      </c>
      <c r="U68" s="381">
        <v>42.45</v>
      </c>
      <c r="V68" s="381">
        <v>24128.83</v>
      </c>
      <c r="W68" s="381">
        <v>59446.400000000001</v>
      </c>
      <c r="X68" s="381">
        <v>24962.91</v>
      </c>
      <c r="Y68" s="381">
        <v>59446.400000000001</v>
      </c>
      <c r="Z68" s="381">
        <v>25778.95</v>
      </c>
      <c r="AA68" s="377" t="s">
        <v>505</v>
      </c>
      <c r="AB68" s="377" t="s">
        <v>506</v>
      </c>
      <c r="AC68" s="377" t="s">
        <v>507</v>
      </c>
      <c r="AD68" s="377" t="s">
        <v>508</v>
      </c>
      <c r="AE68" s="377" t="s">
        <v>504</v>
      </c>
      <c r="AF68" s="377" t="s">
        <v>473</v>
      </c>
      <c r="AG68" s="377" t="s">
        <v>179</v>
      </c>
      <c r="AH68" s="382">
        <v>28.58</v>
      </c>
      <c r="AI68" s="382">
        <v>23769.7</v>
      </c>
      <c r="AJ68" s="377" t="s">
        <v>180</v>
      </c>
      <c r="AK68" s="377" t="s">
        <v>181</v>
      </c>
      <c r="AL68" s="377" t="s">
        <v>182</v>
      </c>
      <c r="AM68" s="377" t="s">
        <v>183</v>
      </c>
      <c r="AN68" s="377" t="s">
        <v>66</v>
      </c>
      <c r="AO68" s="380">
        <v>80</v>
      </c>
      <c r="AP68" s="385">
        <v>1</v>
      </c>
      <c r="AQ68" s="385">
        <v>1</v>
      </c>
      <c r="AR68" s="383" t="s">
        <v>184</v>
      </c>
      <c r="AS68" s="387">
        <f t="shared" si="98"/>
        <v>1</v>
      </c>
      <c r="AT68">
        <f t="shared" si="99"/>
        <v>1</v>
      </c>
      <c r="AU68" s="387">
        <f>IF(AT68=0,"",IF(AND(AT68=1,M68="F",SUMIF(C2:C76,C68,AS2:AS76)&lt;=1),SUMIF(C2:C76,C68,AS2:AS76),IF(AND(AT68=1,M68="F",SUMIF(C2:C76,C68,AS2:AS76)&gt;1),1,"")))</f>
        <v>1</v>
      </c>
      <c r="AV68" s="387" t="str">
        <f>IF(AT68=0,"",IF(AND(AT68=3,M68="F",SUMIF(C2:C76,C68,AS2:AS76)&lt;=1),SUMIF(C2:C76,C68,AS2:AS76),IF(AND(AT68=3,M68="F",SUMIF(C2:C76,C68,AS2:AS76)&gt;1),1,"")))</f>
        <v/>
      </c>
      <c r="AW68" s="387">
        <f>SUMIF(C2:C76,C68,O2:O76)</f>
        <v>1</v>
      </c>
      <c r="AX68" s="387">
        <f>IF(AND(M68="F",AS68&lt;&gt;0),SUMIF(C2:C76,C68,W2:W76),0)</f>
        <v>59446.400000000001</v>
      </c>
      <c r="AY68" s="387">
        <f t="shared" si="100"/>
        <v>59446.400000000001</v>
      </c>
      <c r="AZ68" s="387" t="str">
        <f t="shared" si="101"/>
        <v/>
      </c>
      <c r="BA68" s="387">
        <f t="shared" si="102"/>
        <v>0</v>
      </c>
      <c r="BB68" s="387">
        <f t="shared" si="71"/>
        <v>12500</v>
      </c>
      <c r="BC68" s="387">
        <f t="shared" si="72"/>
        <v>0</v>
      </c>
      <c r="BD68" s="387">
        <f t="shared" si="73"/>
        <v>3685.6768000000002</v>
      </c>
      <c r="BE68" s="387">
        <f t="shared" si="74"/>
        <v>861.97280000000012</v>
      </c>
      <c r="BF68" s="387">
        <f t="shared" si="75"/>
        <v>7097.9001600000001</v>
      </c>
      <c r="BG68" s="387">
        <f t="shared" si="76"/>
        <v>428.60854400000005</v>
      </c>
      <c r="BH68" s="387">
        <f t="shared" si="77"/>
        <v>0</v>
      </c>
      <c r="BI68" s="387">
        <f t="shared" si="78"/>
        <v>329.03582399999999</v>
      </c>
      <c r="BJ68" s="387">
        <f t="shared" si="79"/>
        <v>59.446400000000004</v>
      </c>
      <c r="BK68" s="387">
        <f t="shared" si="80"/>
        <v>0</v>
      </c>
      <c r="BL68" s="387">
        <f t="shared" si="103"/>
        <v>12462.640528000004</v>
      </c>
      <c r="BM68" s="387">
        <f t="shared" si="104"/>
        <v>0</v>
      </c>
      <c r="BN68" s="387">
        <f t="shared" si="81"/>
        <v>13750</v>
      </c>
      <c r="BO68" s="387">
        <f t="shared" si="82"/>
        <v>0</v>
      </c>
      <c r="BP68" s="387">
        <f t="shared" si="83"/>
        <v>3685.6768000000002</v>
      </c>
      <c r="BQ68" s="387">
        <f t="shared" si="84"/>
        <v>861.97280000000012</v>
      </c>
      <c r="BR68" s="387">
        <f t="shared" si="85"/>
        <v>6646.1075199999996</v>
      </c>
      <c r="BS68" s="387">
        <f t="shared" si="86"/>
        <v>428.60854400000005</v>
      </c>
      <c r="BT68" s="387">
        <f t="shared" si="87"/>
        <v>0</v>
      </c>
      <c r="BU68" s="387">
        <f t="shared" si="88"/>
        <v>329.03582399999999</v>
      </c>
      <c r="BV68" s="387">
        <f t="shared" si="89"/>
        <v>77.280320000000003</v>
      </c>
      <c r="BW68" s="387">
        <f t="shared" si="90"/>
        <v>0</v>
      </c>
      <c r="BX68" s="387">
        <f t="shared" si="105"/>
        <v>12028.681808000001</v>
      </c>
      <c r="BY68" s="387">
        <f t="shared" si="106"/>
        <v>0</v>
      </c>
      <c r="BZ68" s="387">
        <f t="shared" si="107"/>
        <v>1250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-451.79264000000057</v>
      </c>
      <c r="CE68" s="387">
        <f t="shared" si="93"/>
        <v>0</v>
      </c>
      <c r="CF68" s="387">
        <f t="shared" si="94"/>
        <v>0</v>
      </c>
      <c r="CG68" s="387">
        <f t="shared" si="95"/>
        <v>0</v>
      </c>
      <c r="CH68" s="387">
        <f t="shared" si="96"/>
        <v>17.833919999999996</v>
      </c>
      <c r="CI68" s="387">
        <f t="shared" si="97"/>
        <v>0</v>
      </c>
      <c r="CJ68" s="387">
        <f t="shared" si="110"/>
        <v>-433.9587200000006</v>
      </c>
      <c r="CK68" s="387" t="str">
        <f t="shared" si="111"/>
        <v/>
      </c>
      <c r="CL68" s="387" t="str">
        <f t="shared" si="112"/>
        <v/>
      </c>
      <c r="CM68" s="387" t="str">
        <f t="shared" si="113"/>
        <v/>
      </c>
      <c r="CN68" s="387" t="str">
        <f t="shared" si="114"/>
        <v>0229-00</v>
      </c>
    </row>
    <row r="69" spans="1:92" ht="15.75" thickBot="1" x14ac:dyDescent="0.3">
      <c r="A69" s="377" t="s">
        <v>162</v>
      </c>
      <c r="B69" s="377" t="s">
        <v>163</v>
      </c>
      <c r="C69" s="377" t="s">
        <v>509</v>
      </c>
      <c r="D69" s="377" t="s">
        <v>189</v>
      </c>
      <c r="E69" s="377" t="s">
        <v>166</v>
      </c>
      <c r="F69" s="378" t="s">
        <v>167</v>
      </c>
      <c r="G69" s="377" t="s">
        <v>168</v>
      </c>
      <c r="H69" s="379"/>
      <c r="I69" s="379"/>
      <c r="J69" s="377" t="s">
        <v>186</v>
      </c>
      <c r="K69" s="377" t="s">
        <v>190</v>
      </c>
      <c r="L69" s="377" t="s">
        <v>191</v>
      </c>
      <c r="M69" s="377" t="s">
        <v>172</v>
      </c>
      <c r="N69" s="377" t="s">
        <v>173</v>
      </c>
      <c r="O69" s="380">
        <v>1</v>
      </c>
      <c r="P69" s="385">
        <v>1</v>
      </c>
      <c r="Q69" s="385">
        <v>1</v>
      </c>
      <c r="R69" s="381">
        <v>80</v>
      </c>
      <c r="S69" s="385">
        <v>1</v>
      </c>
      <c r="T69" s="381">
        <v>46975.18</v>
      </c>
      <c r="U69" s="381">
        <v>0</v>
      </c>
      <c r="V69" s="381">
        <v>14732.94</v>
      </c>
      <c r="W69" s="381">
        <v>60611.199999999997</v>
      </c>
      <c r="X69" s="381">
        <v>25207.11</v>
      </c>
      <c r="Y69" s="381">
        <v>60611.199999999997</v>
      </c>
      <c r="Z69" s="381">
        <v>26014.65</v>
      </c>
      <c r="AA69" s="377" t="s">
        <v>510</v>
      </c>
      <c r="AB69" s="377" t="s">
        <v>511</v>
      </c>
      <c r="AC69" s="377" t="s">
        <v>512</v>
      </c>
      <c r="AD69" s="377" t="s">
        <v>202</v>
      </c>
      <c r="AE69" s="377" t="s">
        <v>410</v>
      </c>
      <c r="AF69" s="377" t="s">
        <v>411</v>
      </c>
      <c r="AG69" s="377" t="s">
        <v>179</v>
      </c>
      <c r="AH69" s="382">
        <v>29.14</v>
      </c>
      <c r="AI69" s="380">
        <v>14560</v>
      </c>
      <c r="AJ69" s="377" t="s">
        <v>180</v>
      </c>
      <c r="AK69" s="377" t="s">
        <v>181</v>
      </c>
      <c r="AL69" s="377" t="s">
        <v>182</v>
      </c>
      <c r="AM69" s="377" t="s">
        <v>183</v>
      </c>
      <c r="AN69" s="377" t="s">
        <v>66</v>
      </c>
      <c r="AO69" s="380">
        <v>80</v>
      </c>
      <c r="AP69" s="385">
        <v>1</v>
      </c>
      <c r="AQ69" s="385">
        <v>1</v>
      </c>
      <c r="AR69" s="383">
        <v>3</v>
      </c>
      <c r="AS69" s="387">
        <f t="shared" si="98"/>
        <v>1</v>
      </c>
      <c r="AT69">
        <f t="shared" si="99"/>
        <v>1</v>
      </c>
      <c r="AU69" s="387">
        <f>IF(AT69=0,"",IF(AND(AT69=1,M69="F",SUMIF(C2:C76,C69,AS2:AS76)&lt;=1),SUMIF(C2:C76,C69,AS2:AS76),IF(AND(AT69=1,M69="F",SUMIF(C2:C76,C69,AS2:AS76)&gt;1),1,"")))</f>
        <v>1</v>
      </c>
      <c r="AV69" s="387" t="str">
        <f>IF(AT69=0,"",IF(AND(AT69=3,M69="F",SUMIF(C2:C76,C69,AS2:AS76)&lt;=1),SUMIF(C2:C76,C69,AS2:AS76),IF(AND(AT69=3,M69="F",SUMIF(C2:C76,C69,AS2:AS76)&gt;1),1,"")))</f>
        <v/>
      </c>
      <c r="AW69" s="387">
        <f>SUMIF(C2:C76,C69,O2:O76)</f>
        <v>1</v>
      </c>
      <c r="AX69" s="387">
        <f>IF(AND(M69="F",AS69&lt;&gt;0),SUMIF(C2:C76,C69,W2:W76),0)</f>
        <v>60611.199999999997</v>
      </c>
      <c r="AY69" s="387">
        <f t="shared" si="100"/>
        <v>60611.199999999997</v>
      </c>
      <c r="AZ69" s="387" t="str">
        <f t="shared" si="101"/>
        <v/>
      </c>
      <c r="BA69" s="387">
        <f t="shared" si="102"/>
        <v>0</v>
      </c>
      <c r="BB69" s="387">
        <f t="shared" si="71"/>
        <v>12500</v>
      </c>
      <c r="BC69" s="387">
        <f t="shared" si="72"/>
        <v>0</v>
      </c>
      <c r="BD69" s="387">
        <f t="shared" si="73"/>
        <v>3757.8943999999997</v>
      </c>
      <c r="BE69" s="387">
        <f t="shared" si="74"/>
        <v>878.86239999999998</v>
      </c>
      <c r="BF69" s="387">
        <f t="shared" si="75"/>
        <v>7236.9772800000001</v>
      </c>
      <c r="BG69" s="387">
        <f t="shared" si="76"/>
        <v>437.00675200000001</v>
      </c>
      <c r="BH69" s="387">
        <f t="shared" si="77"/>
        <v>0</v>
      </c>
      <c r="BI69" s="387">
        <f t="shared" si="78"/>
        <v>335.48299199999997</v>
      </c>
      <c r="BJ69" s="387">
        <f t="shared" si="79"/>
        <v>60.611199999999997</v>
      </c>
      <c r="BK69" s="387">
        <f t="shared" si="80"/>
        <v>0</v>
      </c>
      <c r="BL69" s="387">
        <f t="shared" si="103"/>
        <v>12706.835023999996</v>
      </c>
      <c r="BM69" s="387">
        <f t="shared" si="104"/>
        <v>0</v>
      </c>
      <c r="BN69" s="387">
        <f t="shared" si="81"/>
        <v>13750</v>
      </c>
      <c r="BO69" s="387">
        <f t="shared" si="82"/>
        <v>0</v>
      </c>
      <c r="BP69" s="387">
        <f t="shared" si="83"/>
        <v>3757.8943999999997</v>
      </c>
      <c r="BQ69" s="387">
        <f t="shared" si="84"/>
        <v>878.86239999999998</v>
      </c>
      <c r="BR69" s="387">
        <f t="shared" si="85"/>
        <v>6776.332159999999</v>
      </c>
      <c r="BS69" s="387">
        <f t="shared" si="86"/>
        <v>437.00675200000001</v>
      </c>
      <c r="BT69" s="387">
        <f t="shared" si="87"/>
        <v>0</v>
      </c>
      <c r="BU69" s="387">
        <f t="shared" si="88"/>
        <v>335.48299199999997</v>
      </c>
      <c r="BV69" s="387">
        <f t="shared" si="89"/>
        <v>78.79455999999999</v>
      </c>
      <c r="BW69" s="387">
        <f t="shared" si="90"/>
        <v>0</v>
      </c>
      <c r="BX69" s="387">
        <f t="shared" si="105"/>
        <v>12264.373263999996</v>
      </c>
      <c r="BY69" s="387">
        <f t="shared" si="106"/>
        <v>0</v>
      </c>
      <c r="BZ69" s="387">
        <f t="shared" si="107"/>
        <v>1250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-460.64512000000053</v>
      </c>
      <c r="CE69" s="387">
        <f t="shared" si="93"/>
        <v>0</v>
      </c>
      <c r="CF69" s="387">
        <f t="shared" si="94"/>
        <v>0</v>
      </c>
      <c r="CG69" s="387">
        <f t="shared" si="95"/>
        <v>0</v>
      </c>
      <c r="CH69" s="387">
        <f t="shared" si="96"/>
        <v>18.183359999999993</v>
      </c>
      <c r="CI69" s="387">
        <f t="shared" si="97"/>
        <v>0</v>
      </c>
      <c r="CJ69" s="387">
        <f t="shared" si="110"/>
        <v>-442.46176000000054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0229-00</v>
      </c>
    </row>
    <row r="70" spans="1:92" ht="15.75" thickBot="1" x14ac:dyDescent="0.3">
      <c r="A70" s="377" t="s">
        <v>162</v>
      </c>
      <c r="B70" s="377" t="s">
        <v>163</v>
      </c>
      <c r="C70" s="377" t="s">
        <v>513</v>
      </c>
      <c r="D70" s="377" t="s">
        <v>189</v>
      </c>
      <c r="E70" s="377" t="s">
        <v>166</v>
      </c>
      <c r="F70" s="378" t="s">
        <v>167</v>
      </c>
      <c r="G70" s="377" t="s">
        <v>168</v>
      </c>
      <c r="H70" s="379"/>
      <c r="I70" s="379"/>
      <c r="J70" s="377" t="s">
        <v>186</v>
      </c>
      <c r="K70" s="377" t="s">
        <v>190</v>
      </c>
      <c r="L70" s="377" t="s">
        <v>191</v>
      </c>
      <c r="M70" s="377" t="s">
        <v>187</v>
      </c>
      <c r="N70" s="377" t="s">
        <v>173</v>
      </c>
      <c r="O70" s="380">
        <v>0</v>
      </c>
      <c r="P70" s="385">
        <v>1</v>
      </c>
      <c r="Q70" s="385">
        <v>1</v>
      </c>
      <c r="R70" s="381">
        <v>80</v>
      </c>
      <c r="S70" s="385">
        <v>1</v>
      </c>
      <c r="T70" s="381">
        <v>0</v>
      </c>
      <c r="U70" s="381">
        <v>0</v>
      </c>
      <c r="V70" s="381">
        <v>0</v>
      </c>
      <c r="W70" s="381">
        <v>74547.199999999997</v>
      </c>
      <c r="X70" s="381">
        <v>33546.239999999998</v>
      </c>
      <c r="Y70" s="381">
        <v>74547.199999999997</v>
      </c>
      <c r="Z70" s="381">
        <v>34738.99</v>
      </c>
      <c r="AA70" s="379"/>
      <c r="AB70" s="377" t="s">
        <v>45</v>
      </c>
      <c r="AC70" s="377" t="s">
        <v>45</v>
      </c>
      <c r="AD70" s="379"/>
      <c r="AE70" s="379"/>
      <c r="AF70" s="379"/>
      <c r="AG70" s="379"/>
      <c r="AH70" s="380">
        <v>0</v>
      </c>
      <c r="AI70" s="380">
        <v>0</v>
      </c>
      <c r="AJ70" s="379"/>
      <c r="AK70" s="379"/>
      <c r="AL70" s="377" t="s">
        <v>182</v>
      </c>
      <c r="AM70" s="379"/>
      <c r="AN70" s="379"/>
      <c r="AO70" s="380">
        <v>0</v>
      </c>
      <c r="AP70" s="385">
        <v>0</v>
      </c>
      <c r="AQ70" s="385">
        <v>0</v>
      </c>
      <c r="AR70" s="384"/>
      <c r="AS70" s="387">
        <f t="shared" si="98"/>
        <v>0</v>
      </c>
      <c r="AT70">
        <f t="shared" si="99"/>
        <v>0</v>
      </c>
      <c r="AU70" s="387" t="str">
        <f>IF(AT70=0,"",IF(AND(AT70=1,M70="F",SUMIF(C2:C76,C70,AS2:AS76)&lt;=1),SUMIF(C2:C76,C70,AS2:AS76),IF(AND(AT70=1,M70="F",SUMIF(C2:C76,C70,AS2:AS76)&gt;1),1,"")))</f>
        <v/>
      </c>
      <c r="AV70" s="387" t="str">
        <f>IF(AT70=0,"",IF(AND(AT70=3,M70="F",SUMIF(C2:C76,C70,AS2:AS76)&lt;=1),SUMIF(C2:C76,C70,AS2:AS76),IF(AND(AT70=3,M70="F",SUMIF(C2:C76,C70,AS2:AS76)&gt;1),1,"")))</f>
        <v/>
      </c>
      <c r="AW70" s="387">
        <f>SUMIF(C2:C76,C70,O2:O76)</f>
        <v>0</v>
      </c>
      <c r="AX70" s="387">
        <f>IF(AND(M70="F",AS70&lt;&gt;0),SUMIF(C2:C76,C70,W2:W76),0)</f>
        <v>0</v>
      </c>
      <c r="AY70" s="387" t="str">
        <f t="shared" si="100"/>
        <v/>
      </c>
      <c r="AZ70" s="387" t="str">
        <f t="shared" si="101"/>
        <v/>
      </c>
      <c r="BA70" s="387">
        <f t="shared" si="102"/>
        <v>0</v>
      </c>
      <c r="BB70" s="387">
        <f t="shared" si="71"/>
        <v>0</v>
      </c>
      <c r="BC70" s="387">
        <f t="shared" si="72"/>
        <v>0</v>
      </c>
      <c r="BD70" s="387">
        <f t="shared" si="73"/>
        <v>0</v>
      </c>
      <c r="BE70" s="387">
        <f t="shared" si="74"/>
        <v>0</v>
      </c>
      <c r="BF70" s="387">
        <f t="shared" si="75"/>
        <v>0</v>
      </c>
      <c r="BG70" s="387">
        <f t="shared" si="76"/>
        <v>0</v>
      </c>
      <c r="BH70" s="387">
        <f t="shared" si="77"/>
        <v>0</v>
      </c>
      <c r="BI70" s="387">
        <f t="shared" si="78"/>
        <v>0</v>
      </c>
      <c r="BJ70" s="387">
        <f t="shared" si="79"/>
        <v>0</v>
      </c>
      <c r="BK70" s="387">
        <f t="shared" si="80"/>
        <v>0</v>
      </c>
      <c r="BL70" s="387">
        <f t="shared" si="103"/>
        <v>0</v>
      </c>
      <c r="BM70" s="387">
        <f t="shared" si="104"/>
        <v>0</v>
      </c>
      <c r="BN70" s="387">
        <f t="shared" si="81"/>
        <v>0</v>
      </c>
      <c r="BO70" s="387">
        <f t="shared" si="82"/>
        <v>0</v>
      </c>
      <c r="BP70" s="387">
        <f t="shared" si="83"/>
        <v>0</v>
      </c>
      <c r="BQ70" s="387">
        <f t="shared" si="84"/>
        <v>0</v>
      </c>
      <c r="BR70" s="387">
        <f t="shared" si="85"/>
        <v>0</v>
      </c>
      <c r="BS70" s="387">
        <f t="shared" si="86"/>
        <v>0</v>
      </c>
      <c r="BT70" s="387">
        <f t="shared" si="87"/>
        <v>0</v>
      </c>
      <c r="BU70" s="387">
        <f t="shared" si="88"/>
        <v>0</v>
      </c>
      <c r="BV70" s="387">
        <f t="shared" si="89"/>
        <v>0</v>
      </c>
      <c r="BW70" s="387">
        <f t="shared" si="90"/>
        <v>0</v>
      </c>
      <c r="BX70" s="387">
        <f t="shared" si="105"/>
        <v>0</v>
      </c>
      <c r="BY70" s="387">
        <f t="shared" si="106"/>
        <v>0</v>
      </c>
      <c r="BZ70" s="387">
        <f t="shared" si="107"/>
        <v>0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0</v>
      </c>
      <c r="CE70" s="387">
        <f t="shared" si="93"/>
        <v>0</v>
      </c>
      <c r="CF70" s="387">
        <f t="shared" si="94"/>
        <v>0</v>
      </c>
      <c r="CG70" s="387">
        <f t="shared" si="95"/>
        <v>0</v>
      </c>
      <c r="CH70" s="387">
        <f t="shared" si="96"/>
        <v>0</v>
      </c>
      <c r="CI70" s="387">
        <f t="shared" si="97"/>
        <v>0</v>
      </c>
      <c r="CJ70" s="387">
        <f t="shared" si="110"/>
        <v>0</v>
      </c>
      <c r="CK70" s="387" t="str">
        <f t="shared" si="111"/>
        <v/>
      </c>
      <c r="CL70" s="387" t="str">
        <f t="shared" si="112"/>
        <v/>
      </c>
      <c r="CM70" s="387" t="str">
        <f t="shared" si="113"/>
        <v/>
      </c>
      <c r="CN70" s="387" t="str">
        <f t="shared" si="114"/>
        <v>0229-00</v>
      </c>
    </row>
    <row r="71" spans="1:92" ht="15.75" thickBot="1" x14ac:dyDescent="0.3">
      <c r="A71" s="377" t="s">
        <v>162</v>
      </c>
      <c r="B71" s="377" t="s">
        <v>163</v>
      </c>
      <c r="C71" s="377" t="s">
        <v>514</v>
      </c>
      <c r="D71" s="377" t="s">
        <v>189</v>
      </c>
      <c r="E71" s="377" t="s">
        <v>166</v>
      </c>
      <c r="F71" s="378" t="s">
        <v>167</v>
      </c>
      <c r="G71" s="377" t="s">
        <v>168</v>
      </c>
      <c r="H71" s="379"/>
      <c r="I71" s="379"/>
      <c r="J71" s="377" t="s">
        <v>186</v>
      </c>
      <c r="K71" s="377" t="s">
        <v>198</v>
      </c>
      <c r="L71" s="377" t="s">
        <v>199</v>
      </c>
      <c r="M71" s="377" t="s">
        <v>172</v>
      </c>
      <c r="N71" s="377" t="s">
        <v>173</v>
      </c>
      <c r="O71" s="380">
        <v>1</v>
      </c>
      <c r="P71" s="385">
        <v>1</v>
      </c>
      <c r="Q71" s="385">
        <v>1</v>
      </c>
      <c r="R71" s="381">
        <v>80</v>
      </c>
      <c r="S71" s="385">
        <v>1</v>
      </c>
      <c r="T71" s="381">
        <v>109524.89</v>
      </c>
      <c r="U71" s="381">
        <v>0</v>
      </c>
      <c r="V71" s="381">
        <v>34290.28</v>
      </c>
      <c r="W71" s="381">
        <v>109449.60000000001</v>
      </c>
      <c r="X71" s="381">
        <v>35446.080000000002</v>
      </c>
      <c r="Y71" s="381">
        <v>109449.60000000001</v>
      </c>
      <c r="Z71" s="381">
        <v>35897.1</v>
      </c>
      <c r="AA71" s="377" t="s">
        <v>515</v>
      </c>
      <c r="AB71" s="377" t="s">
        <v>516</v>
      </c>
      <c r="AC71" s="377" t="s">
        <v>359</v>
      </c>
      <c r="AD71" s="377" t="s">
        <v>195</v>
      </c>
      <c r="AE71" s="377" t="s">
        <v>198</v>
      </c>
      <c r="AF71" s="377" t="s">
        <v>204</v>
      </c>
      <c r="AG71" s="377" t="s">
        <v>179</v>
      </c>
      <c r="AH71" s="382">
        <v>52.62</v>
      </c>
      <c r="AI71" s="380">
        <v>24842</v>
      </c>
      <c r="AJ71" s="377" t="s">
        <v>180</v>
      </c>
      <c r="AK71" s="377" t="s">
        <v>181</v>
      </c>
      <c r="AL71" s="377" t="s">
        <v>182</v>
      </c>
      <c r="AM71" s="377" t="s">
        <v>183</v>
      </c>
      <c r="AN71" s="377" t="s">
        <v>66</v>
      </c>
      <c r="AO71" s="380">
        <v>80</v>
      </c>
      <c r="AP71" s="385">
        <v>1</v>
      </c>
      <c r="AQ71" s="385">
        <v>1</v>
      </c>
      <c r="AR71" s="383" t="s">
        <v>184</v>
      </c>
      <c r="AS71" s="387">
        <f t="shared" si="98"/>
        <v>1</v>
      </c>
      <c r="AT71">
        <f t="shared" si="99"/>
        <v>1</v>
      </c>
      <c r="AU71" s="387">
        <f>IF(AT71=0,"",IF(AND(AT71=1,M71="F",SUMIF(C2:C76,C71,AS2:AS76)&lt;=1),SUMIF(C2:C76,C71,AS2:AS76),IF(AND(AT71=1,M71="F",SUMIF(C2:C76,C71,AS2:AS76)&gt;1),1,"")))</f>
        <v>1</v>
      </c>
      <c r="AV71" s="387" t="str">
        <f>IF(AT71=0,"",IF(AND(AT71=3,M71="F",SUMIF(C2:C76,C71,AS2:AS76)&lt;=1),SUMIF(C2:C76,C71,AS2:AS76),IF(AND(AT71=3,M71="F",SUMIF(C2:C76,C71,AS2:AS76)&gt;1),1,"")))</f>
        <v/>
      </c>
      <c r="AW71" s="387">
        <f>SUMIF(C2:C76,C71,O2:O76)</f>
        <v>1</v>
      </c>
      <c r="AX71" s="387">
        <f>IF(AND(M71="F",AS71&lt;&gt;0),SUMIF(C2:C76,C71,W2:W76),0)</f>
        <v>109449.60000000001</v>
      </c>
      <c r="AY71" s="387">
        <f t="shared" si="100"/>
        <v>109449.60000000001</v>
      </c>
      <c r="AZ71" s="387" t="str">
        <f t="shared" si="101"/>
        <v/>
      </c>
      <c r="BA71" s="387">
        <f t="shared" si="102"/>
        <v>0</v>
      </c>
      <c r="BB71" s="387">
        <f t="shared" si="71"/>
        <v>12500</v>
      </c>
      <c r="BC71" s="387">
        <f t="shared" si="72"/>
        <v>0</v>
      </c>
      <c r="BD71" s="387">
        <f t="shared" si="73"/>
        <v>6785.8752000000004</v>
      </c>
      <c r="BE71" s="387">
        <f t="shared" si="74"/>
        <v>1587.0192000000002</v>
      </c>
      <c r="BF71" s="387">
        <f t="shared" si="75"/>
        <v>13068.28224</v>
      </c>
      <c r="BG71" s="387">
        <f t="shared" si="76"/>
        <v>789.13161600000012</v>
      </c>
      <c r="BH71" s="387">
        <f t="shared" si="77"/>
        <v>0</v>
      </c>
      <c r="BI71" s="387">
        <f t="shared" si="78"/>
        <v>605.80353600000001</v>
      </c>
      <c r="BJ71" s="387">
        <f t="shared" si="79"/>
        <v>109.4496</v>
      </c>
      <c r="BK71" s="387">
        <f t="shared" si="80"/>
        <v>0</v>
      </c>
      <c r="BL71" s="387">
        <f t="shared" si="103"/>
        <v>22945.561392</v>
      </c>
      <c r="BM71" s="387">
        <f t="shared" si="104"/>
        <v>0</v>
      </c>
      <c r="BN71" s="387">
        <f t="shared" si="81"/>
        <v>13750</v>
      </c>
      <c r="BO71" s="387">
        <f t="shared" si="82"/>
        <v>0</v>
      </c>
      <c r="BP71" s="387">
        <f t="shared" si="83"/>
        <v>6785.8752000000004</v>
      </c>
      <c r="BQ71" s="387">
        <f t="shared" si="84"/>
        <v>1587.0192000000002</v>
      </c>
      <c r="BR71" s="387">
        <f t="shared" si="85"/>
        <v>12236.46528</v>
      </c>
      <c r="BS71" s="387">
        <f t="shared" si="86"/>
        <v>789.13161600000012</v>
      </c>
      <c r="BT71" s="387">
        <f t="shared" si="87"/>
        <v>0</v>
      </c>
      <c r="BU71" s="387">
        <f t="shared" si="88"/>
        <v>605.80353600000001</v>
      </c>
      <c r="BV71" s="387">
        <f t="shared" si="89"/>
        <v>142.28448</v>
      </c>
      <c r="BW71" s="387">
        <f t="shared" si="90"/>
        <v>0</v>
      </c>
      <c r="BX71" s="387">
        <f t="shared" si="105"/>
        <v>22146.579311999998</v>
      </c>
      <c r="BY71" s="387">
        <f t="shared" si="106"/>
        <v>0</v>
      </c>
      <c r="BZ71" s="387">
        <f t="shared" si="107"/>
        <v>1250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-831.81696000000113</v>
      </c>
      <c r="CE71" s="387">
        <f t="shared" si="93"/>
        <v>0</v>
      </c>
      <c r="CF71" s="387">
        <f t="shared" si="94"/>
        <v>0</v>
      </c>
      <c r="CG71" s="387">
        <f t="shared" si="95"/>
        <v>0</v>
      </c>
      <c r="CH71" s="387">
        <f t="shared" si="96"/>
        <v>32.834879999999991</v>
      </c>
      <c r="CI71" s="387">
        <f t="shared" si="97"/>
        <v>0</v>
      </c>
      <c r="CJ71" s="387">
        <f t="shared" si="110"/>
        <v>-798.98208000000113</v>
      </c>
      <c r="CK71" s="387" t="str">
        <f t="shared" si="111"/>
        <v/>
      </c>
      <c r="CL71" s="387" t="str">
        <f t="shared" si="112"/>
        <v/>
      </c>
      <c r="CM71" s="387" t="str">
        <f t="shared" si="113"/>
        <v/>
      </c>
      <c r="CN71" s="387" t="str">
        <f t="shared" si="114"/>
        <v>0229-00</v>
      </c>
    </row>
    <row r="72" spans="1:92" ht="15.75" thickBot="1" x14ac:dyDescent="0.3">
      <c r="A72" s="377" t="s">
        <v>162</v>
      </c>
      <c r="B72" s="377" t="s">
        <v>163</v>
      </c>
      <c r="C72" s="377" t="s">
        <v>517</v>
      </c>
      <c r="D72" s="377" t="s">
        <v>518</v>
      </c>
      <c r="E72" s="377" t="s">
        <v>166</v>
      </c>
      <c r="F72" s="378" t="s">
        <v>167</v>
      </c>
      <c r="G72" s="377" t="s">
        <v>168</v>
      </c>
      <c r="H72" s="379"/>
      <c r="I72" s="379"/>
      <c r="J72" s="377" t="s">
        <v>186</v>
      </c>
      <c r="K72" s="377" t="s">
        <v>519</v>
      </c>
      <c r="L72" s="377" t="s">
        <v>195</v>
      </c>
      <c r="M72" s="377" t="s">
        <v>172</v>
      </c>
      <c r="N72" s="377" t="s">
        <v>173</v>
      </c>
      <c r="O72" s="380">
        <v>1</v>
      </c>
      <c r="P72" s="385">
        <v>1</v>
      </c>
      <c r="Q72" s="385">
        <v>1</v>
      </c>
      <c r="R72" s="381">
        <v>80</v>
      </c>
      <c r="S72" s="385">
        <v>1</v>
      </c>
      <c r="T72" s="381">
        <v>52921.64</v>
      </c>
      <c r="U72" s="381">
        <v>0</v>
      </c>
      <c r="V72" s="381">
        <v>23058.15</v>
      </c>
      <c r="W72" s="381">
        <v>56409.599999999999</v>
      </c>
      <c r="X72" s="381">
        <v>24326.23</v>
      </c>
      <c r="Y72" s="381">
        <v>56409.599999999999</v>
      </c>
      <c r="Z72" s="381">
        <v>25164.45</v>
      </c>
      <c r="AA72" s="377" t="s">
        <v>520</v>
      </c>
      <c r="AB72" s="377" t="s">
        <v>521</v>
      </c>
      <c r="AC72" s="377" t="s">
        <v>522</v>
      </c>
      <c r="AD72" s="377" t="s">
        <v>195</v>
      </c>
      <c r="AE72" s="377" t="s">
        <v>519</v>
      </c>
      <c r="AF72" s="377" t="s">
        <v>523</v>
      </c>
      <c r="AG72" s="377" t="s">
        <v>179</v>
      </c>
      <c r="AH72" s="382">
        <v>27.12</v>
      </c>
      <c r="AI72" s="380">
        <v>53182</v>
      </c>
      <c r="AJ72" s="377" t="s">
        <v>180</v>
      </c>
      <c r="AK72" s="377" t="s">
        <v>181</v>
      </c>
      <c r="AL72" s="377" t="s">
        <v>182</v>
      </c>
      <c r="AM72" s="377" t="s">
        <v>183</v>
      </c>
      <c r="AN72" s="377" t="s">
        <v>66</v>
      </c>
      <c r="AO72" s="380">
        <v>80</v>
      </c>
      <c r="AP72" s="385">
        <v>1</v>
      </c>
      <c r="AQ72" s="385">
        <v>1</v>
      </c>
      <c r="AR72" s="383" t="s">
        <v>184</v>
      </c>
      <c r="AS72" s="387">
        <f t="shared" si="98"/>
        <v>1</v>
      </c>
      <c r="AT72">
        <f t="shared" si="99"/>
        <v>1</v>
      </c>
      <c r="AU72" s="387">
        <f>IF(AT72=0,"",IF(AND(AT72=1,M72="F",SUMIF(C2:C76,C72,AS2:AS76)&lt;=1),SUMIF(C2:C76,C72,AS2:AS76),IF(AND(AT72=1,M72="F",SUMIF(C2:C76,C72,AS2:AS76)&gt;1),1,"")))</f>
        <v>1</v>
      </c>
      <c r="AV72" s="387" t="str">
        <f>IF(AT72=0,"",IF(AND(AT72=3,M72="F",SUMIF(C2:C76,C72,AS2:AS76)&lt;=1),SUMIF(C2:C76,C72,AS2:AS76),IF(AND(AT72=3,M72="F",SUMIF(C2:C76,C72,AS2:AS76)&gt;1),1,"")))</f>
        <v/>
      </c>
      <c r="AW72" s="387">
        <f>SUMIF(C2:C76,C72,O2:O76)</f>
        <v>1</v>
      </c>
      <c r="AX72" s="387">
        <f>IF(AND(M72="F",AS72&lt;&gt;0),SUMIF(C2:C76,C72,W2:W76),0)</f>
        <v>56409.599999999999</v>
      </c>
      <c r="AY72" s="387">
        <f t="shared" si="100"/>
        <v>56409.599999999999</v>
      </c>
      <c r="AZ72" s="387" t="str">
        <f t="shared" si="101"/>
        <v/>
      </c>
      <c r="BA72" s="387">
        <f t="shared" si="102"/>
        <v>0</v>
      </c>
      <c r="BB72" s="387">
        <f t="shared" si="71"/>
        <v>12500</v>
      </c>
      <c r="BC72" s="387">
        <f t="shared" si="72"/>
        <v>0</v>
      </c>
      <c r="BD72" s="387">
        <f t="shared" si="73"/>
        <v>3497.3951999999999</v>
      </c>
      <c r="BE72" s="387">
        <f t="shared" si="74"/>
        <v>817.93920000000003</v>
      </c>
      <c r="BF72" s="387">
        <f t="shared" si="75"/>
        <v>6735.3062399999999</v>
      </c>
      <c r="BG72" s="387">
        <f t="shared" si="76"/>
        <v>406.71321599999999</v>
      </c>
      <c r="BH72" s="387">
        <f t="shared" si="77"/>
        <v>0</v>
      </c>
      <c r="BI72" s="387">
        <f t="shared" si="78"/>
        <v>312.22713599999997</v>
      </c>
      <c r="BJ72" s="387">
        <f t="shared" si="79"/>
        <v>56.409599999999998</v>
      </c>
      <c r="BK72" s="387">
        <f t="shared" si="80"/>
        <v>0</v>
      </c>
      <c r="BL72" s="387">
        <f t="shared" si="103"/>
        <v>11825.990592</v>
      </c>
      <c r="BM72" s="387">
        <f t="shared" si="104"/>
        <v>0</v>
      </c>
      <c r="BN72" s="387">
        <f t="shared" si="81"/>
        <v>13750</v>
      </c>
      <c r="BO72" s="387">
        <f t="shared" si="82"/>
        <v>0</v>
      </c>
      <c r="BP72" s="387">
        <f t="shared" si="83"/>
        <v>3497.3951999999999</v>
      </c>
      <c r="BQ72" s="387">
        <f t="shared" si="84"/>
        <v>817.93920000000003</v>
      </c>
      <c r="BR72" s="387">
        <f t="shared" si="85"/>
        <v>6306.59328</v>
      </c>
      <c r="BS72" s="387">
        <f t="shared" si="86"/>
        <v>406.71321599999999</v>
      </c>
      <c r="BT72" s="387">
        <f t="shared" si="87"/>
        <v>0</v>
      </c>
      <c r="BU72" s="387">
        <f t="shared" si="88"/>
        <v>312.22713599999997</v>
      </c>
      <c r="BV72" s="387">
        <f t="shared" si="89"/>
        <v>73.33247999999999</v>
      </c>
      <c r="BW72" s="387">
        <f t="shared" si="90"/>
        <v>0</v>
      </c>
      <c r="BX72" s="387">
        <f t="shared" si="105"/>
        <v>11414.200511999999</v>
      </c>
      <c r="BY72" s="387">
        <f t="shared" si="106"/>
        <v>0</v>
      </c>
      <c r="BZ72" s="387">
        <f t="shared" si="107"/>
        <v>1250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-428.71296000000052</v>
      </c>
      <c r="CE72" s="387">
        <f t="shared" si="93"/>
        <v>0</v>
      </c>
      <c r="CF72" s="387">
        <f t="shared" si="94"/>
        <v>0</v>
      </c>
      <c r="CG72" s="387">
        <f t="shared" si="95"/>
        <v>0</v>
      </c>
      <c r="CH72" s="387">
        <f t="shared" si="96"/>
        <v>16.922879999999996</v>
      </c>
      <c r="CI72" s="387">
        <f t="shared" si="97"/>
        <v>0</v>
      </c>
      <c r="CJ72" s="387">
        <f t="shared" si="110"/>
        <v>-411.7900800000005</v>
      </c>
      <c r="CK72" s="387" t="str">
        <f t="shared" si="111"/>
        <v/>
      </c>
      <c r="CL72" s="387" t="str">
        <f t="shared" si="112"/>
        <v/>
      </c>
      <c r="CM72" s="387" t="str">
        <f t="shared" si="113"/>
        <v/>
      </c>
      <c r="CN72" s="387" t="str">
        <f t="shared" si="114"/>
        <v>0229-00</v>
      </c>
    </row>
    <row r="73" spans="1:92" ht="15.75" thickBot="1" x14ac:dyDescent="0.3">
      <c r="A73" s="377" t="s">
        <v>162</v>
      </c>
      <c r="B73" s="377" t="s">
        <v>163</v>
      </c>
      <c r="C73" s="377" t="s">
        <v>524</v>
      </c>
      <c r="D73" s="377" t="s">
        <v>165</v>
      </c>
      <c r="E73" s="377" t="s">
        <v>166</v>
      </c>
      <c r="F73" s="378" t="s">
        <v>167</v>
      </c>
      <c r="G73" s="377" t="s">
        <v>168</v>
      </c>
      <c r="H73" s="379"/>
      <c r="I73" s="379"/>
      <c r="J73" s="377" t="s">
        <v>276</v>
      </c>
      <c r="K73" s="377" t="s">
        <v>170</v>
      </c>
      <c r="L73" s="377" t="s">
        <v>171</v>
      </c>
      <c r="M73" s="377" t="s">
        <v>187</v>
      </c>
      <c r="N73" s="377" t="s">
        <v>173</v>
      </c>
      <c r="O73" s="380">
        <v>0</v>
      </c>
      <c r="P73" s="385">
        <v>1</v>
      </c>
      <c r="Q73" s="385">
        <v>1</v>
      </c>
      <c r="R73" s="381">
        <v>80</v>
      </c>
      <c r="S73" s="385">
        <v>1</v>
      </c>
      <c r="T73" s="381">
        <v>83561.14</v>
      </c>
      <c r="U73" s="381">
        <v>0</v>
      </c>
      <c r="V73" s="381">
        <v>29381.15</v>
      </c>
      <c r="W73" s="381">
        <v>62275.199999999997</v>
      </c>
      <c r="X73" s="381">
        <v>28023.84</v>
      </c>
      <c r="Y73" s="381">
        <v>62275.199999999997</v>
      </c>
      <c r="Z73" s="381">
        <v>29020.240000000002</v>
      </c>
      <c r="AA73" s="379"/>
      <c r="AB73" s="377" t="s">
        <v>45</v>
      </c>
      <c r="AC73" s="377" t="s">
        <v>45</v>
      </c>
      <c r="AD73" s="379"/>
      <c r="AE73" s="379"/>
      <c r="AF73" s="379"/>
      <c r="AG73" s="379"/>
      <c r="AH73" s="380">
        <v>0</v>
      </c>
      <c r="AI73" s="380">
        <v>0</v>
      </c>
      <c r="AJ73" s="379"/>
      <c r="AK73" s="379"/>
      <c r="AL73" s="377" t="s">
        <v>182</v>
      </c>
      <c r="AM73" s="379"/>
      <c r="AN73" s="379"/>
      <c r="AO73" s="380">
        <v>0</v>
      </c>
      <c r="AP73" s="385">
        <v>0</v>
      </c>
      <c r="AQ73" s="385">
        <v>0</v>
      </c>
      <c r="AR73" s="384"/>
      <c r="AS73" s="387">
        <f t="shared" si="98"/>
        <v>0</v>
      </c>
      <c r="AT73">
        <f t="shared" si="99"/>
        <v>0</v>
      </c>
      <c r="AU73" s="387" t="str">
        <f>IF(AT73=0,"",IF(AND(AT73=1,M73="F",SUMIF(C2:C76,C73,AS2:AS76)&lt;=1),SUMIF(C2:C76,C73,AS2:AS76),IF(AND(AT73=1,M73="F",SUMIF(C2:C76,C73,AS2:AS76)&gt;1),1,"")))</f>
        <v/>
      </c>
      <c r="AV73" s="387" t="str">
        <f>IF(AT73=0,"",IF(AND(AT73=3,M73="F",SUMIF(C2:C76,C73,AS2:AS76)&lt;=1),SUMIF(C2:C76,C73,AS2:AS76),IF(AND(AT73=3,M73="F",SUMIF(C2:C76,C73,AS2:AS76)&gt;1),1,"")))</f>
        <v/>
      </c>
      <c r="AW73" s="387">
        <f>SUMIF(C2:C76,C73,O2:O76)</f>
        <v>0</v>
      </c>
      <c r="AX73" s="387">
        <f>IF(AND(M73="F",AS73&lt;&gt;0),SUMIF(C2:C76,C73,W2:W76),0)</f>
        <v>0</v>
      </c>
      <c r="AY73" s="387" t="str">
        <f t="shared" si="100"/>
        <v/>
      </c>
      <c r="AZ73" s="387" t="str">
        <f t="shared" si="101"/>
        <v/>
      </c>
      <c r="BA73" s="387">
        <f t="shared" si="102"/>
        <v>0</v>
      </c>
      <c r="BB73" s="387">
        <f t="shared" si="71"/>
        <v>0</v>
      </c>
      <c r="BC73" s="387">
        <f t="shared" si="72"/>
        <v>0</v>
      </c>
      <c r="BD73" s="387">
        <f t="shared" si="73"/>
        <v>0</v>
      </c>
      <c r="BE73" s="387">
        <f t="shared" si="74"/>
        <v>0</v>
      </c>
      <c r="BF73" s="387">
        <f t="shared" si="75"/>
        <v>0</v>
      </c>
      <c r="BG73" s="387">
        <f t="shared" si="76"/>
        <v>0</v>
      </c>
      <c r="BH73" s="387">
        <f t="shared" si="77"/>
        <v>0</v>
      </c>
      <c r="BI73" s="387">
        <f t="shared" si="78"/>
        <v>0</v>
      </c>
      <c r="BJ73" s="387">
        <f t="shared" si="79"/>
        <v>0</v>
      </c>
      <c r="BK73" s="387">
        <f t="shared" si="80"/>
        <v>0</v>
      </c>
      <c r="BL73" s="387">
        <f t="shared" si="103"/>
        <v>0</v>
      </c>
      <c r="BM73" s="387">
        <f t="shared" si="104"/>
        <v>0</v>
      </c>
      <c r="BN73" s="387">
        <f t="shared" si="81"/>
        <v>0</v>
      </c>
      <c r="BO73" s="387">
        <f t="shared" si="82"/>
        <v>0</v>
      </c>
      <c r="BP73" s="387">
        <f t="shared" si="83"/>
        <v>0</v>
      </c>
      <c r="BQ73" s="387">
        <f t="shared" si="84"/>
        <v>0</v>
      </c>
      <c r="BR73" s="387">
        <f t="shared" si="85"/>
        <v>0</v>
      </c>
      <c r="BS73" s="387">
        <f t="shared" si="86"/>
        <v>0</v>
      </c>
      <c r="BT73" s="387">
        <f t="shared" si="87"/>
        <v>0</v>
      </c>
      <c r="BU73" s="387">
        <f t="shared" si="88"/>
        <v>0</v>
      </c>
      <c r="BV73" s="387">
        <f t="shared" si="89"/>
        <v>0</v>
      </c>
      <c r="BW73" s="387">
        <f t="shared" si="90"/>
        <v>0</v>
      </c>
      <c r="BX73" s="387">
        <f t="shared" si="105"/>
        <v>0</v>
      </c>
      <c r="BY73" s="387">
        <f t="shared" si="106"/>
        <v>0</v>
      </c>
      <c r="BZ73" s="387">
        <f t="shared" si="107"/>
        <v>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0</v>
      </c>
      <c r="CE73" s="387">
        <f t="shared" si="93"/>
        <v>0</v>
      </c>
      <c r="CF73" s="387">
        <f t="shared" si="94"/>
        <v>0</v>
      </c>
      <c r="CG73" s="387">
        <f t="shared" si="95"/>
        <v>0</v>
      </c>
      <c r="CH73" s="387">
        <f t="shared" si="96"/>
        <v>0</v>
      </c>
      <c r="CI73" s="387">
        <f t="shared" si="97"/>
        <v>0</v>
      </c>
      <c r="CJ73" s="387">
        <f t="shared" si="110"/>
        <v>0</v>
      </c>
      <c r="CK73" s="387" t="str">
        <f t="shared" si="111"/>
        <v/>
      </c>
      <c r="CL73" s="387" t="str">
        <f t="shared" si="112"/>
        <v/>
      </c>
      <c r="CM73" s="387" t="str">
        <f t="shared" si="113"/>
        <v/>
      </c>
      <c r="CN73" s="387" t="str">
        <f t="shared" si="114"/>
        <v>0229-00</v>
      </c>
    </row>
    <row r="74" spans="1:92" ht="15.75" thickBot="1" x14ac:dyDescent="0.3">
      <c r="A74" s="377" t="s">
        <v>162</v>
      </c>
      <c r="B74" s="377" t="s">
        <v>163</v>
      </c>
      <c r="C74" s="377" t="s">
        <v>525</v>
      </c>
      <c r="D74" s="377" t="s">
        <v>189</v>
      </c>
      <c r="E74" s="377" t="s">
        <v>166</v>
      </c>
      <c r="F74" s="378" t="s">
        <v>167</v>
      </c>
      <c r="G74" s="377" t="s">
        <v>168</v>
      </c>
      <c r="H74" s="379"/>
      <c r="I74" s="379"/>
      <c r="J74" s="377" t="s">
        <v>186</v>
      </c>
      <c r="K74" s="377" t="s">
        <v>190</v>
      </c>
      <c r="L74" s="377" t="s">
        <v>191</v>
      </c>
      <c r="M74" s="377" t="s">
        <v>172</v>
      </c>
      <c r="N74" s="377" t="s">
        <v>173</v>
      </c>
      <c r="O74" s="380">
        <v>1</v>
      </c>
      <c r="P74" s="385">
        <v>1</v>
      </c>
      <c r="Q74" s="385">
        <v>1</v>
      </c>
      <c r="R74" s="381">
        <v>80</v>
      </c>
      <c r="S74" s="385">
        <v>1</v>
      </c>
      <c r="T74" s="381">
        <v>110932.81</v>
      </c>
      <c r="U74" s="381">
        <v>0</v>
      </c>
      <c r="V74" s="381">
        <v>35114.300000000003</v>
      </c>
      <c r="W74" s="381">
        <v>110988.8</v>
      </c>
      <c r="X74" s="381">
        <v>35768.76</v>
      </c>
      <c r="Y74" s="381">
        <v>110988.8</v>
      </c>
      <c r="Z74" s="381">
        <v>36208.54</v>
      </c>
      <c r="AA74" s="377" t="s">
        <v>526</v>
      </c>
      <c r="AB74" s="377" t="s">
        <v>527</v>
      </c>
      <c r="AC74" s="377" t="s">
        <v>528</v>
      </c>
      <c r="AD74" s="377" t="s">
        <v>529</v>
      </c>
      <c r="AE74" s="377" t="s">
        <v>198</v>
      </c>
      <c r="AF74" s="377" t="s">
        <v>204</v>
      </c>
      <c r="AG74" s="377" t="s">
        <v>179</v>
      </c>
      <c r="AH74" s="382">
        <v>53.36</v>
      </c>
      <c r="AI74" s="382">
        <v>19365.2</v>
      </c>
      <c r="AJ74" s="377" t="s">
        <v>180</v>
      </c>
      <c r="AK74" s="377" t="s">
        <v>181</v>
      </c>
      <c r="AL74" s="377" t="s">
        <v>182</v>
      </c>
      <c r="AM74" s="377" t="s">
        <v>183</v>
      </c>
      <c r="AN74" s="377" t="s">
        <v>66</v>
      </c>
      <c r="AO74" s="380">
        <v>80</v>
      </c>
      <c r="AP74" s="385">
        <v>1</v>
      </c>
      <c r="AQ74" s="385">
        <v>1</v>
      </c>
      <c r="AR74" s="383" t="s">
        <v>184</v>
      </c>
      <c r="AS74" s="387">
        <f t="shared" si="98"/>
        <v>1</v>
      </c>
      <c r="AT74">
        <f t="shared" si="99"/>
        <v>1</v>
      </c>
      <c r="AU74" s="387">
        <f>IF(AT74=0,"",IF(AND(AT74=1,M74="F",SUMIF(C2:C76,C74,AS2:AS76)&lt;=1),SUMIF(C2:C76,C74,AS2:AS76),IF(AND(AT74=1,M74="F",SUMIF(C2:C76,C74,AS2:AS76)&gt;1),1,"")))</f>
        <v>1</v>
      </c>
      <c r="AV74" s="387" t="str">
        <f>IF(AT74=0,"",IF(AND(AT74=3,M74="F",SUMIF(C2:C76,C74,AS2:AS76)&lt;=1),SUMIF(C2:C76,C74,AS2:AS76),IF(AND(AT74=3,M74="F",SUMIF(C2:C76,C74,AS2:AS76)&gt;1),1,"")))</f>
        <v/>
      </c>
      <c r="AW74" s="387">
        <f>SUMIF(C2:C76,C74,O2:O76)</f>
        <v>1</v>
      </c>
      <c r="AX74" s="387">
        <f>IF(AND(M74="F",AS74&lt;&gt;0),SUMIF(C2:C76,C74,W2:W76),0)</f>
        <v>110988.8</v>
      </c>
      <c r="AY74" s="387">
        <f t="shared" si="100"/>
        <v>110988.8</v>
      </c>
      <c r="AZ74" s="387" t="str">
        <f t="shared" si="101"/>
        <v/>
      </c>
      <c r="BA74" s="387">
        <f t="shared" si="102"/>
        <v>0</v>
      </c>
      <c r="BB74" s="387">
        <f t="shared" si="71"/>
        <v>12500</v>
      </c>
      <c r="BC74" s="387">
        <f t="shared" si="72"/>
        <v>0</v>
      </c>
      <c r="BD74" s="387">
        <f t="shared" si="73"/>
        <v>6881.3055999999997</v>
      </c>
      <c r="BE74" s="387">
        <f t="shared" si="74"/>
        <v>1609.3376000000001</v>
      </c>
      <c r="BF74" s="387">
        <f t="shared" si="75"/>
        <v>13252.062720000002</v>
      </c>
      <c r="BG74" s="387">
        <f t="shared" si="76"/>
        <v>800.2292480000001</v>
      </c>
      <c r="BH74" s="387">
        <f t="shared" si="77"/>
        <v>0</v>
      </c>
      <c r="BI74" s="387">
        <f t="shared" si="78"/>
        <v>614.32300799999996</v>
      </c>
      <c r="BJ74" s="387">
        <f t="shared" si="79"/>
        <v>110.98880000000001</v>
      </c>
      <c r="BK74" s="387">
        <f t="shared" si="80"/>
        <v>0</v>
      </c>
      <c r="BL74" s="387">
        <f t="shared" si="103"/>
        <v>23268.246975999999</v>
      </c>
      <c r="BM74" s="387">
        <f t="shared" si="104"/>
        <v>0</v>
      </c>
      <c r="BN74" s="387">
        <f t="shared" si="81"/>
        <v>13750</v>
      </c>
      <c r="BO74" s="387">
        <f t="shared" si="82"/>
        <v>0</v>
      </c>
      <c r="BP74" s="387">
        <f t="shared" si="83"/>
        <v>6881.3055999999997</v>
      </c>
      <c r="BQ74" s="387">
        <f t="shared" si="84"/>
        <v>1609.3376000000001</v>
      </c>
      <c r="BR74" s="387">
        <f t="shared" si="85"/>
        <v>12408.547839999999</v>
      </c>
      <c r="BS74" s="387">
        <f t="shared" si="86"/>
        <v>800.2292480000001</v>
      </c>
      <c r="BT74" s="387">
        <f t="shared" si="87"/>
        <v>0</v>
      </c>
      <c r="BU74" s="387">
        <f t="shared" si="88"/>
        <v>614.32300799999996</v>
      </c>
      <c r="BV74" s="387">
        <f t="shared" si="89"/>
        <v>144.28543999999999</v>
      </c>
      <c r="BW74" s="387">
        <f t="shared" si="90"/>
        <v>0</v>
      </c>
      <c r="BX74" s="387">
        <f t="shared" si="105"/>
        <v>22458.028735999997</v>
      </c>
      <c r="BY74" s="387">
        <f t="shared" si="106"/>
        <v>0</v>
      </c>
      <c r="BZ74" s="387">
        <f t="shared" si="107"/>
        <v>1250</v>
      </c>
      <c r="CA74" s="387">
        <f t="shared" si="108"/>
        <v>0</v>
      </c>
      <c r="CB74" s="387">
        <f t="shared" si="109"/>
        <v>0</v>
      </c>
      <c r="CC74" s="387">
        <f t="shared" si="91"/>
        <v>0</v>
      </c>
      <c r="CD74" s="387">
        <f t="shared" si="92"/>
        <v>-843.51488000000109</v>
      </c>
      <c r="CE74" s="387">
        <f t="shared" si="93"/>
        <v>0</v>
      </c>
      <c r="CF74" s="387">
        <f t="shared" si="94"/>
        <v>0</v>
      </c>
      <c r="CG74" s="387">
        <f t="shared" si="95"/>
        <v>0</v>
      </c>
      <c r="CH74" s="387">
        <f t="shared" si="96"/>
        <v>33.296639999999989</v>
      </c>
      <c r="CI74" s="387">
        <f t="shared" si="97"/>
        <v>0</v>
      </c>
      <c r="CJ74" s="387">
        <f t="shared" si="110"/>
        <v>-810.21824000000106</v>
      </c>
      <c r="CK74" s="387" t="str">
        <f t="shared" si="111"/>
        <v/>
      </c>
      <c r="CL74" s="387" t="str">
        <f t="shared" si="112"/>
        <v/>
      </c>
      <c r="CM74" s="387" t="str">
        <f t="shared" si="113"/>
        <v/>
      </c>
      <c r="CN74" s="387" t="str">
        <f t="shared" si="114"/>
        <v>0229-00</v>
      </c>
    </row>
    <row r="75" spans="1:92" ht="15.75" thickBot="1" x14ac:dyDescent="0.3">
      <c r="A75" s="377" t="s">
        <v>162</v>
      </c>
      <c r="B75" s="377" t="s">
        <v>163</v>
      </c>
      <c r="C75" s="377" t="s">
        <v>530</v>
      </c>
      <c r="D75" s="377" t="s">
        <v>165</v>
      </c>
      <c r="E75" s="377" t="s">
        <v>166</v>
      </c>
      <c r="F75" s="378" t="s">
        <v>167</v>
      </c>
      <c r="G75" s="377" t="s">
        <v>168</v>
      </c>
      <c r="H75" s="379"/>
      <c r="I75" s="379"/>
      <c r="J75" s="377" t="s">
        <v>186</v>
      </c>
      <c r="K75" s="377" t="s">
        <v>170</v>
      </c>
      <c r="L75" s="377" t="s">
        <v>171</v>
      </c>
      <c r="M75" s="377" t="s">
        <v>172</v>
      </c>
      <c r="N75" s="377" t="s">
        <v>173</v>
      </c>
      <c r="O75" s="380">
        <v>1</v>
      </c>
      <c r="P75" s="385">
        <v>1</v>
      </c>
      <c r="Q75" s="385">
        <v>1</v>
      </c>
      <c r="R75" s="381">
        <v>80</v>
      </c>
      <c r="S75" s="385">
        <v>1</v>
      </c>
      <c r="T75" s="381">
        <v>62548.800000000003</v>
      </c>
      <c r="U75" s="381">
        <v>0</v>
      </c>
      <c r="V75" s="381">
        <v>25044.76</v>
      </c>
      <c r="W75" s="381">
        <v>70844.800000000003</v>
      </c>
      <c r="X75" s="381">
        <v>27352.58</v>
      </c>
      <c r="Y75" s="381">
        <v>70844.800000000003</v>
      </c>
      <c r="Z75" s="381">
        <v>28085.41</v>
      </c>
      <c r="AA75" s="377" t="s">
        <v>531</v>
      </c>
      <c r="AB75" s="377" t="s">
        <v>532</v>
      </c>
      <c r="AC75" s="377" t="s">
        <v>533</v>
      </c>
      <c r="AD75" s="377" t="s">
        <v>534</v>
      </c>
      <c r="AE75" s="377" t="s">
        <v>211</v>
      </c>
      <c r="AF75" s="377" t="s">
        <v>212</v>
      </c>
      <c r="AG75" s="377" t="s">
        <v>179</v>
      </c>
      <c r="AH75" s="382">
        <v>34.06</v>
      </c>
      <c r="AI75" s="380">
        <v>3853</v>
      </c>
      <c r="AJ75" s="377" t="s">
        <v>180</v>
      </c>
      <c r="AK75" s="377" t="s">
        <v>181</v>
      </c>
      <c r="AL75" s="377" t="s">
        <v>182</v>
      </c>
      <c r="AM75" s="377" t="s">
        <v>183</v>
      </c>
      <c r="AN75" s="377" t="s">
        <v>66</v>
      </c>
      <c r="AO75" s="380">
        <v>80</v>
      </c>
      <c r="AP75" s="385">
        <v>1</v>
      </c>
      <c r="AQ75" s="385">
        <v>1</v>
      </c>
      <c r="AR75" s="383" t="s">
        <v>184</v>
      </c>
      <c r="AS75" s="387">
        <f t="shared" si="98"/>
        <v>1</v>
      </c>
      <c r="AT75">
        <f t="shared" si="99"/>
        <v>1</v>
      </c>
      <c r="AU75" s="387">
        <f>IF(AT75=0,"",IF(AND(AT75=1,M75="F",SUMIF(C2:C76,C75,AS2:AS76)&lt;=1),SUMIF(C2:C76,C75,AS2:AS76),IF(AND(AT75=1,M75="F",SUMIF(C2:C76,C75,AS2:AS76)&gt;1),1,"")))</f>
        <v>1</v>
      </c>
      <c r="AV75" s="387" t="str">
        <f>IF(AT75=0,"",IF(AND(AT75=3,M75="F",SUMIF(C2:C76,C75,AS2:AS76)&lt;=1),SUMIF(C2:C76,C75,AS2:AS76),IF(AND(AT75=3,M75="F",SUMIF(C2:C76,C75,AS2:AS76)&gt;1),1,"")))</f>
        <v/>
      </c>
      <c r="AW75" s="387">
        <f>SUMIF(C2:C76,C75,O2:O76)</f>
        <v>1</v>
      </c>
      <c r="AX75" s="387">
        <f>IF(AND(M75="F",AS75&lt;&gt;0),SUMIF(C2:C76,C75,W2:W76),0)</f>
        <v>70844.800000000003</v>
      </c>
      <c r="AY75" s="387">
        <f t="shared" si="100"/>
        <v>70844.800000000003</v>
      </c>
      <c r="AZ75" s="387" t="str">
        <f t="shared" si="101"/>
        <v/>
      </c>
      <c r="BA75" s="387">
        <f t="shared" si="102"/>
        <v>0</v>
      </c>
      <c r="BB75" s="387">
        <f t="shared" si="71"/>
        <v>12500</v>
      </c>
      <c r="BC75" s="387">
        <f t="shared" si="72"/>
        <v>0</v>
      </c>
      <c r="BD75" s="387">
        <f t="shared" si="73"/>
        <v>4392.3775999999998</v>
      </c>
      <c r="BE75" s="387">
        <f t="shared" si="74"/>
        <v>1027.2496000000001</v>
      </c>
      <c r="BF75" s="387">
        <f t="shared" si="75"/>
        <v>8458.8691200000012</v>
      </c>
      <c r="BG75" s="387">
        <f t="shared" si="76"/>
        <v>510.79100800000003</v>
      </c>
      <c r="BH75" s="387">
        <f t="shared" si="77"/>
        <v>0</v>
      </c>
      <c r="BI75" s="387">
        <f t="shared" si="78"/>
        <v>392.125968</v>
      </c>
      <c r="BJ75" s="387">
        <f t="shared" si="79"/>
        <v>70.844800000000006</v>
      </c>
      <c r="BK75" s="387">
        <f t="shared" si="80"/>
        <v>0</v>
      </c>
      <c r="BL75" s="387">
        <f t="shared" si="103"/>
        <v>14852.258096000003</v>
      </c>
      <c r="BM75" s="387">
        <f t="shared" si="104"/>
        <v>0</v>
      </c>
      <c r="BN75" s="387">
        <f t="shared" si="81"/>
        <v>13750</v>
      </c>
      <c r="BO75" s="387">
        <f t="shared" si="82"/>
        <v>0</v>
      </c>
      <c r="BP75" s="387">
        <f t="shared" si="83"/>
        <v>4392.3775999999998</v>
      </c>
      <c r="BQ75" s="387">
        <f t="shared" si="84"/>
        <v>1027.2496000000001</v>
      </c>
      <c r="BR75" s="387">
        <f t="shared" si="85"/>
        <v>7920.4486400000005</v>
      </c>
      <c r="BS75" s="387">
        <f t="shared" si="86"/>
        <v>510.79100800000003</v>
      </c>
      <c r="BT75" s="387">
        <f t="shared" si="87"/>
        <v>0</v>
      </c>
      <c r="BU75" s="387">
        <f t="shared" si="88"/>
        <v>392.125968</v>
      </c>
      <c r="BV75" s="387">
        <f t="shared" si="89"/>
        <v>92.098240000000004</v>
      </c>
      <c r="BW75" s="387">
        <f t="shared" si="90"/>
        <v>0</v>
      </c>
      <c r="BX75" s="387">
        <f t="shared" si="105"/>
        <v>14335.091056000001</v>
      </c>
      <c r="BY75" s="387">
        <f t="shared" si="106"/>
        <v>0</v>
      </c>
      <c r="BZ75" s="387">
        <f t="shared" si="107"/>
        <v>1250</v>
      </c>
      <c r="CA75" s="387">
        <f t="shared" si="108"/>
        <v>0</v>
      </c>
      <c r="CB75" s="387">
        <f t="shared" si="109"/>
        <v>0</v>
      </c>
      <c r="CC75" s="387">
        <f t="shared" si="91"/>
        <v>0</v>
      </c>
      <c r="CD75" s="387">
        <f t="shared" si="92"/>
        <v>-538.42048000000068</v>
      </c>
      <c r="CE75" s="387">
        <f t="shared" si="93"/>
        <v>0</v>
      </c>
      <c r="CF75" s="387">
        <f t="shared" si="94"/>
        <v>0</v>
      </c>
      <c r="CG75" s="387">
        <f t="shared" si="95"/>
        <v>0</v>
      </c>
      <c r="CH75" s="387">
        <f t="shared" si="96"/>
        <v>21.253439999999994</v>
      </c>
      <c r="CI75" s="387">
        <f t="shared" si="97"/>
        <v>0</v>
      </c>
      <c r="CJ75" s="387">
        <f t="shared" si="110"/>
        <v>-517.16704000000072</v>
      </c>
      <c r="CK75" s="387" t="str">
        <f t="shared" si="111"/>
        <v/>
      </c>
      <c r="CL75" s="387" t="str">
        <f t="shared" si="112"/>
        <v/>
      </c>
      <c r="CM75" s="387" t="str">
        <f t="shared" si="113"/>
        <v/>
      </c>
      <c r="CN75" s="387" t="str">
        <f t="shared" si="114"/>
        <v>0229-00</v>
      </c>
    </row>
    <row r="76" spans="1:92" ht="15.75" thickBot="1" x14ac:dyDescent="0.3">
      <c r="A76" s="377" t="s">
        <v>162</v>
      </c>
      <c r="B76" s="377" t="s">
        <v>163</v>
      </c>
      <c r="C76" s="377" t="s">
        <v>535</v>
      </c>
      <c r="D76" s="377" t="s">
        <v>350</v>
      </c>
      <c r="E76" s="377" t="s">
        <v>166</v>
      </c>
      <c r="F76" s="378" t="s">
        <v>167</v>
      </c>
      <c r="G76" s="377" t="s">
        <v>168</v>
      </c>
      <c r="H76" s="379"/>
      <c r="I76" s="379"/>
      <c r="J76" s="377" t="s">
        <v>186</v>
      </c>
      <c r="K76" s="377" t="s">
        <v>351</v>
      </c>
      <c r="L76" s="377" t="s">
        <v>179</v>
      </c>
      <c r="M76" s="377" t="s">
        <v>187</v>
      </c>
      <c r="N76" s="377" t="s">
        <v>173</v>
      </c>
      <c r="O76" s="380">
        <v>0</v>
      </c>
      <c r="P76" s="385">
        <v>1</v>
      </c>
      <c r="Q76" s="385">
        <v>1</v>
      </c>
      <c r="R76" s="381">
        <v>80</v>
      </c>
      <c r="S76" s="385">
        <v>1</v>
      </c>
      <c r="T76" s="381">
        <v>22282.31</v>
      </c>
      <c r="U76" s="381">
        <v>12.51</v>
      </c>
      <c r="V76" s="381">
        <v>11269.89</v>
      </c>
      <c r="W76" s="381">
        <v>33051.199999999997</v>
      </c>
      <c r="X76" s="381">
        <v>14873.04</v>
      </c>
      <c r="Y76" s="381">
        <v>33051.199999999997</v>
      </c>
      <c r="Z76" s="381">
        <v>15401.85</v>
      </c>
      <c r="AA76" s="379"/>
      <c r="AB76" s="377" t="s">
        <v>45</v>
      </c>
      <c r="AC76" s="377" t="s">
        <v>45</v>
      </c>
      <c r="AD76" s="379"/>
      <c r="AE76" s="379"/>
      <c r="AF76" s="379"/>
      <c r="AG76" s="379"/>
      <c r="AH76" s="380">
        <v>0</v>
      </c>
      <c r="AI76" s="380">
        <v>0</v>
      </c>
      <c r="AJ76" s="379"/>
      <c r="AK76" s="379"/>
      <c r="AL76" s="377" t="s">
        <v>182</v>
      </c>
      <c r="AM76" s="379"/>
      <c r="AN76" s="379"/>
      <c r="AO76" s="380">
        <v>0</v>
      </c>
      <c r="AP76" s="385">
        <v>0</v>
      </c>
      <c r="AQ76" s="385">
        <v>0</v>
      </c>
      <c r="AR76" s="384"/>
      <c r="AS76" s="387">
        <f t="shared" si="98"/>
        <v>0</v>
      </c>
      <c r="AT76">
        <f t="shared" si="99"/>
        <v>0</v>
      </c>
      <c r="AU76" s="387" t="str">
        <f>IF(AT76=0,"",IF(AND(AT76=1,M76="F",SUMIF(C2:C76,C76,AS2:AS76)&lt;=1),SUMIF(C2:C76,C76,AS2:AS76),IF(AND(AT76=1,M76="F",SUMIF(C2:C76,C76,AS2:AS76)&gt;1),1,"")))</f>
        <v/>
      </c>
      <c r="AV76" s="387" t="str">
        <f>IF(AT76=0,"",IF(AND(AT76=3,M76="F",SUMIF(C2:C76,C76,AS2:AS76)&lt;=1),SUMIF(C2:C76,C76,AS2:AS76),IF(AND(AT76=3,M76="F",SUMIF(C2:C76,C76,AS2:AS76)&gt;1),1,"")))</f>
        <v/>
      </c>
      <c r="AW76" s="387">
        <f>SUMIF(C2:C76,C76,O2:O76)</f>
        <v>0</v>
      </c>
      <c r="AX76" s="387">
        <f>IF(AND(M76="F",AS76&lt;&gt;0),SUMIF(C2:C76,C76,W2:W76),0)</f>
        <v>0</v>
      </c>
      <c r="AY76" s="387" t="str">
        <f t="shared" si="100"/>
        <v/>
      </c>
      <c r="AZ76" s="387" t="str">
        <f t="shared" si="101"/>
        <v/>
      </c>
      <c r="BA76" s="387">
        <f t="shared" si="102"/>
        <v>0</v>
      </c>
      <c r="BB76" s="387">
        <f t="shared" si="71"/>
        <v>0</v>
      </c>
      <c r="BC76" s="387">
        <f t="shared" si="72"/>
        <v>0</v>
      </c>
      <c r="BD76" s="387">
        <f t="shared" si="73"/>
        <v>0</v>
      </c>
      <c r="BE76" s="387">
        <f t="shared" si="74"/>
        <v>0</v>
      </c>
      <c r="BF76" s="387">
        <f t="shared" si="75"/>
        <v>0</v>
      </c>
      <c r="BG76" s="387">
        <f t="shared" si="76"/>
        <v>0</v>
      </c>
      <c r="BH76" s="387">
        <f t="shared" si="77"/>
        <v>0</v>
      </c>
      <c r="BI76" s="387">
        <f t="shared" si="78"/>
        <v>0</v>
      </c>
      <c r="BJ76" s="387">
        <f t="shared" si="79"/>
        <v>0</v>
      </c>
      <c r="BK76" s="387">
        <f t="shared" si="80"/>
        <v>0</v>
      </c>
      <c r="BL76" s="387">
        <f t="shared" si="103"/>
        <v>0</v>
      </c>
      <c r="BM76" s="387">
        <f t="shared" si="104"/>
        <v>0</v>
      </c>
      <c r="BN76" s="387">
        <f t="shared" si="81"/>
        <v>0</v>
      </c>
      <c r="BO76" s="387">
        <f t="shared" si="82"/>
        <v>0</v>
      </c>
      <c r="BP76" s="387">
        <f t="shared" si="83"/>
        <v>0</v>
      </c>
      <c r="BQ76" s="387">
        <f t="shared" si="84"/>
        <v>0</v>
      </c>
      <c r="BR76" s="387">
        <f t="shared" si="85"/>
        <v>0</v>
      </c>
      <c r="BS76" s="387">
        <f t="shared" si="86"/>
        <v>0</v>
      </c>
      <c r="BT76" s="387">
        <f t="shared" si="87"/>
        <v>0</v>
      </c>
      <c r="BU76" s="387">
        <f t="shared" si="88"/>
        <v>0</v>
      </c>
      <c r="BV76" s="387">
        <f t="shared" si="89"/>
        <v>0</v>
      </c>
      <c r="BW76" s="387">
        <f t="shared" si="90"/>
        <v>0</v>
      </c>
      <c r="BX76" s="387">
        <f t="shared" si="105"/>
        <v>0</v>
      </c>
      <c r="BY76" s="387">
        <f t="shared" si="106"/>
        <v>0</v>
      </c>
      <c r="BZ76" s="387">
        <f t="shared" si="107"/>
        <v>0</v>
      </c>
      <c r="CA76" s="387">
        <f t="shared" si="108"/>
        <v>0</v>
      </c>
      <c r="CB76" s="387">
        <f t="shared" si="109"/>
        <v>0</v>
      </c>
      <c r="CC76" s="387">
        <f t="shared" si="91"/>
        <v>0</v>
      </c>
      <c r="CD76" s="387">
        <f t="shared" si="92"/>
        <v>0</v>
      </c>
      <c r="CE76" s="387">
        <f t="shared" si="93"/>
        <v>0</v>
      </c>
      <c r="CF76" s="387">
        <f t="shared" si="94"/>
        <v>0</v>
      </c>
      <c r="CG76" s="387">
        <f t="shared" si="95"/>
        <v>0</v>
      </c>
      <c r="CH76" s="387">
        <f t="shared" si="96"/>
        <v>0</v>
      </c>
      <c r="CI76" s="387">
        <f t="shared" si="97"/>
        <v>0</v>
      </c>
      <c r="CJ76" s="387">
        <f t="shared" si="110"/>
        <v>0</v>
      </c>
      <c r="CK76" s="387" t="str">
        <f t="shared" si="111"/>
        <v/>
      </c>
      <c r="CL76" s="387" t="str">
        <f t="shared" si="112"/>
        <v/>
      </c>
      <c r="CM76" s="387" t="str">
        <f t="shared" si="113"/>
        <v/>
      </c>
      <c r="CN76" s="387" t="str">
        <f t="shared" si="114"/>
        <v>0229-00</v>
      </c>
    </row>
    <row r="78" spans="1:92" ht="21" x14ac:dyDescent="0.35">
      <c r="AQ78" s="251" t="s">
        <v>597</v>
      </c>
    </row>
    <row r="79" spans="1:92" ht="15.75" thickBot="1" x14ac:dyDescent="0.3">
      <c r="AR79" t="s">
        <v>584</v>
      </c>
      <c r="AS79" s="387">
        <f>SUMIFS(AS2:AS76,G2:G76,"FIAA",E2:E76,"0229",F2:F76,"00",AT2:AT76,1)</f>
        <v>63</v>
      </c>
      <c r="AT79" s="387">
        <f>SUMIFS(AS2:AS76,G2:G76,"FIAA",E2:E76,"0229",F2:F76,"00",AT2:AT76,3)</f>
        <v>0</v>
      </c>
      <c r="AU79" s="387">
        <f>SUMIFS(AU2:AU76,G2:G76,"FIAA",E2:E76,"0229",F2:F76,"00")</f>
        <v>63</v>
      </c>
      <c r="AV79" s="387">
        <f>SUMIFS(AV2:AV76,G2:G76,"FIAA",E2:E76,"0229",F2:F76,"00")</f>
        <v>0</v>
      </c>
      <c r="AW79" s="387">
        <f>SUMIFS(AW2:AW76,G2:G76,"FIAA",E2:E76,"0229",F2:F76,"00")</f>
        <v>63</v>
      </c>
      <c r="AX79" s="387">
        <f>SUMIFS(AX2:AX76,G2:G76,"FIAA",E2:E76,"0229",F2:F76,"00")</f>
        <v>4917431.9999999991</v>
      </c>
      <c r="AY79" s="387">
        <f>SUMIFS(AY2:AY76,G2:G76,"FIAA",E2:E76,"0229",F2:F76,"00")</f>
        <v>4917431.9999999991</v>
      </c>
      <c r="AZ79" s="387">
        <f>SUMIFS(AZ2:AZ76,G2:G76,"FIAA",E2:E76,"0229",F2:F76,"00")</f>
        <v>0</v>
      </c>
      <c r="BA79" s="387">
        <f>SUMIFS(BA2:BA76,G2:G76,"FIAA",E2:E76,"0229",F2:F76,"00")</f>
        <v>0</v>
      </c>
      <c r="BB79" s="387">
        <f>SUMIFS(BB2:BB76,G2:G76,"FIAA",E2:E76,"0229",F2:F76,"00")</f>
        <v>787500</v>
      </c>
      <c r="BC79" s="387">
        <f>SUMIFS(BC2:BC76,G2:G76,"FIAA",E2:E76,"0229",F2:F76,"00")</f>
        <v>0</v>
      </c>
      <c r="BD79" s="387">
        <f>SUMIFS(BD2:BD76,G2:G76,"FIAA",E2:E76,"0229",F2:F76,"00")</f>
        <v>303752.88000000006</v>
      </c>
      <c r="BE79" s="387">
        <f>SUMIFS(BE2:BE76,G2:G76,"FIAA",E2:E76,"0229",F2:F76,"00")</f>
        <v>71302.763999999996</v>
      </c>
      <c r="BF79" s="387">
        <f>SUMIFS(BF2:BF76,G2:G76,"FIAA",E2:E76,"0229",F2:F76,"00")</f>
        <v>587141.38079999993</v>
      </c>
      <c r="BG79" s="387">
        <f>SUMIFS(BG2:BG76,G2:G76,"FIAA",E2:E76,"0229",F2:F76,"00")</f>
        <v>35454.684720000005</v>
      </c>
      <c r="BH79" s="387">
        <f>SUMIFS(BH2:BH76,G2:G76,"FIAA",E2:E76,"0229",F2:F76,"00")</f>
        <v>0</v>
      </c>
      <c r="BI79" s="387">
        <f>SUMIFS(BI2:BI76,G2:G76,"FIAA",E2:E76,"0229",F2:F76,"00")</f>
        <v>25631.061768000007</v>
      </c>
      <c r="BJ79" s="387">
        <f>SUMIFS(BJ2:BJ76,G2:G76,"FIAA",E2:E76,"0229",F2:F76,"00")</f>
        <v>4917.4319999999998</v>
      </c>
      <c r="BK79" s="387">
        <f>SUMIFS(BK2:BK76,G2:G76,"FIAA",E2:E76,"0229",F2:F76,"00")</f>
        <v>0</v>
      </c>
      <c r="BL79" s="387">
        <f>SUMIFS(BL2:BL76,G2:G76,"FIAA",E2:E76,"0229",F2:F76,"00")</f>
        <v>1028200.2032879995</v>
      </c>
      <c r="BM79" s="387">
        <f>SUMIFS(BM2:BM76,G2:G76,"FIAA",E2:E76,"0229",F2:F76,"00")</f>
        <v>0</v>
      </c>
      <c r="BN79" s="387">
        <f>SUMIFS(BN2:BN76,G2:G76,"FIAA",E2:E76,"0229",F2:F76,"00")</f>
        <v>866250</v>
      </c>
      <c r="BO79" s="387">
        <f>SUMIFS(BO2:BO76,G2:G76,"FIAA",E2:E76,"0229",F2:F76,"00")</f>
        <v>0</v>
      </c>
      <c r="BP79" s="387">
        <f>SUMIFS(BP2:BP76,G2:G76,"FIAA",E2:E76,"0229",F2:F76,"00")</f>
        <v>304013.28000000003</v>
      </c>
      <c r="BQ79" s="387">
        <f>SUMIFS(BQ2:BQ76,G2:G76,"FIAA",E2:E76,"0229",F2:F76,"00")</f>
        <v>71302.763999999996</v>
      </c>
      <c r="BR79" s="387">
        <f>SUMIFS(BR2:BR76,G2:G76,"FIAA",E2:E76,"0229",F2:F76,"00")</f>
        <v>549768.89760000003</v>
      </c>
      <c r="BS79" s="387">
        <f>SUMIFS(BS2:BS76,G2:G76,"FIAA",E2:E76,"0229",F2:F76,"00")</f>
        <v>35454.684720000005</v>
      </c>
      <c r="BT79" s="387">
        <f>SUMIFS(BT2:BT76,G2:G76,"FIAA",E2:E76,"0229",F2:F76,"00")</f>
        <v>0</v>
      </c>
      <c r="BU79" s="387">
        <f>SUMIFS(BU2:BU76,G2:G76,"FIAA",E2:E76,"0229",F2:F76,"00")</f>
        <v>25631.061768000007</v>
      </c>
      <c r="BV79" s="387">
        <f>SUMIFS(BV2:BV76,G2:G76,"FIAA",E2:E76,"0229",F2:F76,"00")</f>
        <v>6392.6616000000013</v>
      </c>
      <c r="BW79" s="387">
        <f>SUMIFS(BW2:BW76,G2:G76,"FIAA",E2:E76,"0229",F2:F76,"00")</f>
        <v>0</v>
      </c>
      <c r="BX79" s="387">
        <f>SUMIFS(BX2:BX76,G2:G76,"FIAA",E2:E76,"0229",F2:F76,"00")</f>
        <v>992563.34968799993</v>
      </c>
      <c r="BY79" s="387">
        <f>SUMIFS(BY2:BY76,G2:G76,"FIAA",E2:E76,"0229",F2:F76,"00")</f>
        <v>0</v>
      </c>
      <c r="BZ79" s="387">
        <f>SUMIFS(BZ2:BZ76,G2:G76,"FIAA",E2:E76,"0229",F2:F76,"00")</f>
        <v>78750</v>
      </c>
      <c r="CA79" s="387">
        <f>SUMIFS(CA2:CA76,G2:G76,"FIAA",E2:E76,"0229",F2:F76,"00")</f>
        <v>0</v>
      </c>
      <c r="CB79" s="387">
        <f>SUMIFS(CB2:CB76,G2:G76,"FIAA",E2:E76,"0229",F2:F76,"00")</f>
        <v>260.39999999999964</v>
      </c>
      <c r="CC79" s="387">
        <f>SUMIFS(CC2:CC76,G2:G76,"FIAA",E2:E76,"0229",F2:F76,"00")</f>
        <v>0</v>
      </c>
      <c r="CD79" s="387">
        <f>SUMIFS(CD2:CD76,G2:G76,"FIAA",E2:E76,"0229",F2:F76,"00")</f>
        <v>-37372.483200000053</v>
      </c>
      <c r="CE79" s="387">
        <f>SUMIFS(CE2:CE76,G2:G76,"FIAA",E2:E76,"0229",F2:F76,"00")</f>
        <v>0</v>
      </c>
      <c r="CF79" s="387">
        <f>SUMIFS(CF2:CF76,G2:G76,"FIAA",E2:E76,"0229",F2:F76,"00")</f>
        <v>0</v>
      </c>
      <c r="CG79" s="387">
        <f>SUMIFS(CG2:CG76,G2:G76,"FIAA",E2:E76,"0229",F2:F76,"00")</f>
        <v>0</v>
      </c>
      <c r="CH79" s="387">
        <f>SUMIFS(CH2:CH76,G2:G76,"FIAA",E2:E76,"0229",F2:F76,"00")</f>
        <v>1475.2295999999994</v>
      </c>
      <c r="CI79" s="387">
        <f>SUMIFS(CI2:CI76,G2:G76,"FIAA",E2:E76,"0229",F2:F76,"00")</f>
        <v>0</v>
      </c>
      <c r="CJ79" s="387">
        <f>SUMIFS(CJ2:CJ76,G2:G76,"FIAA",E2:E76,"0229",F2:F76,"00")</f>
        <v>-35636.853600000053</v>
      </c>
      <c r="CK79" s="387">
        <f>SUMIFS(CK2:CK76,G2:G76,"FIAA",E2:E76,"0229",F2:F76,"00")</f>
        <v>0</v>
      </c>
      <c r="CL79" s="387">
        <f>SUMIFS(CL2:CL76,G2:G76,"FIAA",E2:E76,"0229",F2:F76,"00")</f>
        <v>4620</v>
      </c>
      <c r="CM79" s="387">
        <f>SUMIFS(CM2:CM76,G2:G76,"FIAA",E2:E76,"0229",F2:F76,"00")</f>
        <v>393.87</v>
      </c>
    </row>
    <row r="80" spans="1:92" ht="18.75" x14ac:dyDescent="0.3">
      <c r="AQ80" s="393" t="s">
        <v>585</v>
      </c>
      <c r="AS80" s="394">
        <f t="shared" ref="AS80:CM80" si="115">SUM(AS79:AS79)</f>
        <v>63</v>
      </c>
      <c r="AT80" s="394">
        <f t="shared" si="115"/>
        <v>0</v>
      </c>
      <c r="AU80" s="394">
        <f t="shared" si="115"/>
        <v>63</v>
      </c>
      <c r="AV80" s="394">
        <f t="shared" si="115"/>
        <v>0</v>
      </c>
      <c r="AW80" s="394">
        <f t="shared" si="115"/>
        <v>63</v>
      </c>
      <c r="AX80" s="394">
        <f t="shared" si="115"/>
        <v>4917431.9999999991</v>
      </c>
      <c r="AY80" s="394">
        <f t="shared" si="115"/>
        <v>4917431.9999999991</v>
      </c>
      <c r="AZ80" s="394">
        <f t="shared" si="115"/>
        <v>0</v>
      </c>
      <c r="BA80" s="394">
        <f t="shared" si="115"/>
        <v>0</v>
      </c>
      <c r="BB80" s="394">
        <f t="shared" si="115"/>
        <v>787500</v>
      </c>
      <c r="BC80" s="394">
        <f t="shared" si="115"/>
        <v>0</v>
      </c>
      <c r="BD80" s="394">
        <f t="shared" si="115"/>
        <v>303752.88000000006</v>
      </c>
      <c r="BE80" s="394">
        <f t="shared" si="115"/>
        <v>71302.763999999996</v>
      </c>
      <c r="BF80" s="394">
        <f t="shared" si="115"/>
        <v>587141.38079999993</v>
      </c>
      <c r="BG80" s="394">
        <f t="shared" si="115"/>
        <v>35454.684720000005</v>
      </c>
      <c r="BH80" s="394">
        <f t="shared" si="115"/>
        <v>0</v>
      </c>
      <c r="BI80" s="394">
        <f t="shared" si="115"/>
        <v>25631.061768000007</v>
      </c>
      <c r="BJ80" s="394">
        <f t="shared" si="115"/>
        <v>4917.4319999999998</v>
      </c>
      <c r="BK80" s="394">
        <f t="shared" si="115"/>
        <v>0</v>
      </c>
      <c r="BL80" s="394">
        <f t="shared" si="115"/>
        <v>1028200.2032879995</v>
      </c>
      <c r="BM80" s="394">
        <f t="shared" si="115"/>
        <v>0</v>
      </c>
      <c r="BN80" s="394">
        <f t="shared" si="115"/>
        <v>866250</v>
      </c>
      <c r="BO80" s="394">
        <f t="shared" si="115"/>
        <v>0</v>
      </c>
      <c r="BP80" s="394">
        <f t="shared" si="115"/>
        <v>304013.28000000003</v>
      </c>
      <c r="BQ80" s="394">
        <f t="shared" si="115"/>
        <v>71302.763999999996</v>
      </c>
      <c r="BR80" s="394">
        <f t="shared" si="115"/>
        <v>549768.89760000003</v>
      </c>
      <c r="BS80" s="394">
        <f t="shared" si="115"/>
        <v>35454.684720000005</v>
      </c>
      <c r="BT80" s="394">
        <f t="shared" si="115"/>
        <v>0</v>
      </c>
      <c r="BU80" s="394">
        <f t="shared" si="115"/>
        <v>25631.061768000007</v>
      </c>
      <c r="BV80" s="394">
        <f t="shared" si="115"/>
        <v>6392.6616000000013</v>
      </c>
      <c r="BW80" s="394">
        <f t="shared" si="115"/>
        <v>0</v>
      </c>
      <c r="BX80" s="394">
        <f t="shared" si="115"/>
        <v>992563.34968799993</v>
      </c>
      <c r="BY80" s="394">
        <f t="shared" si="115"/>
        <v>0</v>
      </c>
      <c r="BZ80" s="394">
        <f t="shared" si="115"/>
        <v>78750</v>
      </c>
      <c r="CA80" s="394">
        <f t="shared" si="115"/>
        <v>0</v>
      </c>
      <c r="CB80" s="394">
        <f t="shared" si="115"/>
        <v>260.39999999999964</v>
      </c>
      <c r="CC80" s="394">
        <f t="shared" si="115"/>
        <v>0</v>
      </c>
      <c r="CD80" s="394">
        <f t="shared" si="115"/>
        <v>-37372.483200000053</v>
      </c>
      <c r="CE80" s="394">
        <f t="shared" si="115"/>
        <v>0</v>
      </c>
      <c r="CF80" s="394">
        <f t="shared" si="115"/>
        <v>0</v>
      </c>
      <c r="CG80" s="394">
        <f t="shared" si="115"/>
        <v>0</v>
      </c>
      <c r="CH80" s="394">
        <f t="shared" si="115"/>
        <v>1475.2295999999994</v>
      </c>
      <c r="CI80" s="394">
        <f t="shared" si="115"/>
        <v>0</v>
      </c>
      <c r="CJ80" s="394">
        <f t="shared" si="115"/>
        <v>-35636.853600000053</v>
      </c>
      <c r="CK80" s="394">
        <f t="shared" si="115"/>
        <v>0</v>
      </c>
      <c r="CL80" s="394">
        <f t="shared" si="115"/>
        <v>4620</v>
      </c>
      <c r="CM80" s="394">
        <f t="shared" si="115"/>
        <v>393.87</v>
      </c>
    </row>
    <row r="81" spans="41:91" ht="15.75" thickBot="1" x14ac:dyDescent="0.3">
      <c r="AR81" t="s">
        <v>591</v>
      </c>
      <c r="AS81" s="387">
        <f>SUMIFS(AS2:AS76,G2:G76,"FIAA",E2:E76,"0325",F2:F76,"27",AT2:AT76,1)</f>
        <v>0</v>
      </c>
      <c r="AT81" s="387">
        <f>SUMIFS(AS2:AS76,G2:G76,"FIAA",E2:E76,"0325",F2:F76,"27",AT2:AT76,3)</f>
        <v>0</v>
      </c>
      <c r="AU81" s="387">
        <f>SUMIFS(AU2:AU76,G2:G76,"FIAA",E2:E76,"0325",F2:F76,"27")</f>
        <v>0</v>
      </c>
      <c r="AV81" s="387">
        <f>SUMIFS(AV2:AV76,G2:G76,"FIAA",E2:E76,"0325",F2:F76,"27")</f>
        <v>0</v>
      </c>
      <c r="AW81" s="387">
        <f>SUMIFS(AW2:AW76,G2:G76,"FIAA",E2:E76,"0325",F2:F76,"27")</f>
        <v>0</v>
      </c>
      <c r="AX81" s="387">
        <f>SUMIFS(AX2:AX76,G2:G76,"FIAA",E2:E76,"0325",F2:F76,"27")</f>
        <v>0</v>
      </c>
      <c r="AY81" s="387">
        <f>SUMIFS(AY2:AY76,G2:G76,"FIAA",E2:E76,"0325",F2:F76,"27")</f>
        <v>0</v>
      </c>
      <c r="AZ81" s="387">
        <f>SUMIFS(AZ2:AZ76,G2:G76,"FIAA",E2:E76,"0325",F2:F76,"27")</f>
        <v>0</v>
      </c>
      <c r="BA81" s="387">
        <f>SUMIFS(BA2:BA76,G2:G76,"FIAA",E2:E76,"0325",F2:F76,"27")</f>
        <v>0</v>
      </c>
      <c r="BB81" s="387">
        <f>SUMIFS(BB2:BB76,G2:G76,"FIAA",E2:E76,"0325",F2:F76,"27")</f>
        <v>0</v>
      </c>
      <c r="BC81" s="387">
        <f>SUMIFS(BC2:BC76,G2:G76,"FIAA",E2:E76,"0325",F2:F76,"27")</f>
        <v>0</v>
      </c>
      <c r="BD81" s="387">
        <f>SUMIFS(BD2:BD76,G2:G76,"FIAA",E2:E76,"0325",F2:F76,"27")</f>
        <v>0</v>
      </c>
      <c r="BE81" s="387">
        <f>SUMIFS(BE2:BE76,G2:G76,"FIAA",E2:E76,"0325",F2:F76,"27")</f>
        <v>0</v>
      </c>
      <c r="BF81" s="387">
        <f>SUMIFS(BF2:BF76,G2:G76,"FIAA",E2:E76,"0325",F2:F76,"27")</f>
        <v>0</v>
      </c>
      <c r="BG81" s="387">
        <f>SUMIFS(BG2:BG76,G2:G76,"FIAA",E2:E76,"0325",F2:F76,"27")</f>
        <v>0</v>
      </c>
      <c r="BH81" s="387">
        <f>SUMIFS(BH2:BH76,G2:G76,"FIAA",E2:E76,"0325",F2:F76,"27")</f>
        <v>0</v>
      </c>
      <c r="BI81" s="387">
        <f>SUMIFS(BI2:BI76,G2:G76,"FIAA",E2:E76,"0325",F2:F76,"27")</f>
        <v>0</v>
      </c>
      <c r="BJ81" s="387">
        <f>SUMIFS(BJ2:BJ76,G2:G76,"FIAA",E2:E76,"0325",F2:F76,"27")</f>
        <v>0</v>
      </c>
      <c r="BK81" s="387">
        <f>SUMIFS(BK2:BK76,G2:G76,"FIAA",E2:E76,"0325",F2:F76,"27")</f>
        <v>0</v>
      </c>
      <c r="BL81" s="387">
        <f>SUMIFS(BL2:BL76,G2:G76,"FIAA",E2:E76,"0325",F2:F76,"27")</f>
        <v>0</v>
      </c>
      <c r="BM81" s="387">
        <f>SUMIFS(BM2:BM76,G2:G76,"FIAA",E2:E76,"0325",F2:F76,"27")</f>
        <v>0</v>
      </c>
      <c r="BN81" s="387">
        <f>SUMIFS(BN2:BN76,G2:G76,"FIAA",E2:E76,"0325",F2:F76,"27")</f>
        <v>0</v>
      </c>
      <c r="BO81" s="387">
        <f>SUMIFS(BO2:BO76,G2:G76,"FIAA",E2:E76,"0325",F2:F76,"27")</f>
        <v>0</v>
      </c>
      <c r="BP81" s="387">
        <f>SUMIFS(BP2:BP76,G2:G76,"FIAA",E2:E76,"0325",F2:F76,"27")</f>
        <v>0</v>
      </c>
      <c r="BQ81" s="387">
        <f>SUMIFS(BQ2:BQ76,G2:G76,"FIAA",E2:E76,"0325",F2:F76,"27")</f>
        <v>0</v>
      </c>
      <c r="BR81" s="387">
        <f>SUMIFS(BR2:BR76,G2:G76,"FIAA",E2:E76,"0325",F2:F76,"27")</f>
        <v>0</v>
      </c>
      <c r="BS81" s="387">
        <f>SUMIFS(BS2:BS76,G2:G76,"FIAA",E2:E76,"0325",F2:F76,"27")</f>
        <v>0</v>
      </c>
      <c r="BT81" s="387">
        <f>SUMIFS(BT2:BT76,G2:G76,"FIAA",E2:E76,"0325",F2:F76,"27")</f>
        <v>0</v>
      </c>
      <c r="BU81" s="387">
        <f>SUMIFS(BU2:BU76,G2:G76,"FIAA",E2:E76,"0325",F2:F76,"27")</f>
        <v>0</v>
      </c>
      <c r="BV81" s="387">
        <f>SUMIFS(BV2:BV76,G2:G76,"FIAA",E2:E76,"0325",F2:F76,"27")</f>
        <v>0</v>
      </c>
      <c r="BW81" s="387">
        <f>SUMIFS(BW2:BW76,G2:G76,"FIAA",E2:E76,"0325",F2:F76,"27")</f>
        <v>0</v>
      </c>
      <c r="BX81" s="387">
        <f>SUMIFS(BX2:BX76,G2:G76,"FIAA",E2:E76,"0325",F2:F76,"27")</f>
        <v>0</v>
      </c>
      <c r="BY81" s="387">
        <f>SUMIFS(BY2:BY76,G2:G76,"FIAA",E2:E76,"0325",F2:F76,"27")</f>
        <v>0</v>
      </c>
      <c r="BZ81" s="387">
        <f>SUMIFS(BZ2:BZ76,G2:G76,"FIAA",E2:E76,"0325",F2:F76,"27")</f>
        <v>0</v>
      </c>
      <c r="CA81" s="387">
        <f>SUMIFS(CA2:CA76,G2:G76,"FIAA",E2:E76,"0325",F2:F76,"27")</f>
        <v>0</v>
      </c>
      <c r="CB81" s="387">
        <f>SUMIFS(CB2:CB76,G2:G76,"FIAA",E2:E76,"0325",F2:F76,"27")</f>
        <v>0</v>
      </c>
      <c r="CC81" s="387">
        <f>SUMIFS(CC2:CC76,G2:G76,"FIAA",E2:E76,"0325",F2:F76,"27")</f>
        <v>0</v>
      </c>
      <c r="CD81" s="387">
        <f>SUMIFS(CD2:CD76,G2:G76,"FIAA",E2:E76,"0325",F2:F76,"27")</f>
        <v>0</v>
      </c>
      <c r="CE81" s="387">
        <f>SUMIFS(CE2:CE76,G2:G76,"FIAA",E2:E76,"0325",F2:F76,"27")</f>
        <v>0</v>
      </c>
      <c r="CF81" s="387">
        <f>SUMIFS(CF2:CF76,G2:G76,"FIAA",E2:E76,"0325",F2:F76,"27")</f>
        <v>0</v>
      </c>
      <c r="CG81" s="387">
        <f>SUMIFS(CG2:CG76,G2:G76,"FIAA",E2:E76,"0325",F2:F76,"27")</f>
        <v>0</v>
      </c>
      <c r="CH81" s="387">
        <f>SUMIFS(CH2:CH76,G2:G76,"FIAA",E2:E76,"0325",F2:F76,"27")</f>
        <v>0</v>
      </c>
      <c r="CI81" s="387">
        <f>SUMIFS(CI2:CI76,G2:G76,"FIAA",E2:E76,"0325",F2:F76,"27")</f>
        <v>0</v>
      </c>
      <c r="CJ81" s="387">
        <f>SUMIFS(CJ2:CJ76,G2:G76,"FIAA",E2:E76,"0325",F2:F76,"27")</f>
        <v>0</v>
      </c>
      <c r="CK81" s="387">
        <f>SUMIFS(CK2:CK76,G2:G76,"FIAA",E2:E76,"0325",F2:F76,"27")</f>
        <v>0</v>
      </c>
      <c r="CL81" s="387">
        <f>SUMIFS(CL2:CL76,G2:G76,"FIAA",E2:E76,"0325",F2:F76,"27")</f>
        <v>0</v>
      </c>
      <c r="CM81" s="387">
        <f>SUMIFS(CM2:CM76,G2:G76,"FIAA",E2:E76,"0325",F2:F76,"27")</f>
        <v>0</v>
      </c>
    </row>
    <row r="82" spans="41:91" ht="18.75" x14ac:dyDescent="0.3">
      <c r="AQ82" s="393" t="s">
        <v>592</v>
      </c>
      <c r="AS82" s="394">
        <f t="shared" ref="AS82:CM82" si="116">SUM(AS81:AS81)</f>
        <v>0</v>
      </c>
      <c r="AT82" s="394">
        <f t="shared" si="116"/>
        <v>0</v>
      </c>
      <c r="AU82" s="394">
        <f t="shared" si="116"/>
        <v>0</v>
      </c>
      <c r="AV82" s="394">
        <f t="shared" si="116"/>
        <v>0</v>
      </c>
      <c r="AW82" s="394">
        <f t="shared" si="116"/>
        <v>0</v>
      </c>
      <c r="AX82" s="394">
        <f t="shared" si="116"/>
        <v>0</v>
      </c>
      <c r="AY82" s="394">
        <f t="shared" si="116"/>
        <v>0</v>
      </c>
      <c r="AZ82" s="394">
        <f t="shared" si="116"/>
        <v>0</v>
      </c>
      <c r="BA82" s="394">
        <f t="shared" si="116"/>
        <v>0</v>
      </c>
      <c r="BB82" s="394">
        <f t="shared" si="116"/>
        <v>0</v>
      </c>
      <c r="BC82" s="394">
        <f t="shared" si="116"/>
        <v>0</v>
      </c>
      <c r="BD82" s="394">
        <f t="shared" si="116"/>
        <v>0</v>
      </c>
      <c r="BE82" s="394">
        <f t="shared" si="116"/>
        <v>0</v>
      </c>
      <c r="BF82" s="394">
        <f t="shared" si="116"/>
        <v>0</v>
      </c>
      <c r="BG82" s="394">
        <f t="shared" si="116"/>
        <v>0</v>
      </c>
      <c r="BH82" s="394">
        <f t="shared" si="116"/>
        <v>0</v>
      </c>
      <c r="BI82" s="394">
        <f t="shared" si="116"/>
        <v>0</v>
      </c>
      <c r="BJ82" s="394">
        <f t="shared" si="116"/>
        <v>0</v>
      </c>
      <c r="BK82" s="394">
        <f t="shared" si="116"/>
        <v>0</v>
      </c>
      <c r="BL82" s="394">
        <f t="shared" si="116"/>
        <v>0</v>
      </c>
      <c r="BM82" s="394">
        <f t="shared" si="116"/>
        <v>0</v>
      </c>
      <c r="BN82" s="394">
        <f t="shared" si="116"/>
        <v>0</v>
      </c>
      <c r="BO82" s="394">
        <f t="shared" si="116"/>
        <v>0</v>
      </c>
      <c r="BP82" s="394">
        <f t="shared" si="116"/>
        <v>0</v>
      </c>
      <c r="BQ82" s="394">
        <f t="shared" si="116"/>
        <v>0</v>
      </c>
      <c r="BR82" s="394">
        <f t="shared" si="116"/>
        <v>0</v>
      </c>
      <c r="BS82" s="394">
        <f t="shared" si="116"/>
        <v>0</v>
      </c>
      <c r="BT82" s="394">
        <f t="shared" si="116"/>
        <v>0</v>
      </c>
      <c r="BU82" s="394">
        <f t="shared" si="116"/>
        <v>0</v>
      </c>
      <c r="BV82" s="394">
        <f t="shared" si="116"/>
        <v>0</v>
      </c>
      <c r="BW82" s="394">
        <f t="shared" si="116"/>
        <v>0</v>
      </c>
      <c r="BX82" s="394">
        <f t="shared" si="116"/>
        <v>0</v>
      </c>
      <c r="BY82" s="394">
        <f t="shared" si="116"/>
        <v>0</v>
      </c>
      <c r="BZ82" s="394">
        <f t="shared" si="116"/>
        <v>0</v>
      </c>
      <c r="CA82" s="394">
        <f t="shared" si="116"/>
        <v>0</v>
      </c>
      <c r="CB82" s="394">
        <f t="shared" si="116"/>
        <v>0</v>
      </c>
      <c r="CC82" s="394">
        <f t="shared" si="116"/>
        <v>0</v>
      </c>
      <c r="CD82" s="394">
        <f t="shared" si="116"/>
        <v>0</v>
      </c>
      <c r="CE82" s="394">
        <f t="shared" si="116"/>
        <v>0</v>
      </c>
      <c r="CF82" s="394">
        <f t="shared" si="116"/>
        <v>0</v>
      </c>
      <c r="CG82" s="394">
        <f t="shared" si="116"/>
        <v>0</v>
      </c>
      <c r="CH82" s="394">
        <f t="shared" si="116"/>
        <v>0</v>
      </c>
      <c r="CI82" s="394">
        <f t="shared" si="116"/>
        <v>0</v>
      </c>
      <c r="CJ82" s="394">
        <f t="shared" si="116"/>
        <v>0</v>
      </c>
      <c r="CK82" s="394">
        <f t="shared" si="116"/>
        <v>0</v>
      </c>
      <c r="CL82" s="394">
        <f t="shared" si="116"/>
        <v>0</v>
      </c>
      <c r="CM82" s="394">
        <f t="shared" si="116"/>
        <v>0</v>
      </c>
    </row>
    <row r="83" spans="41:91" x14ac:dyDescent="0.25"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87"/>
      <c r="CD83" s="387"/>
      <c r="CE83" s="387"/>
      <c r="CF83" s="387"/>
      <c r="CG83" s="387"/>
      <c r="CH83" s="387"/>
      <c r="CI83" s="387"/>
      <c r="CJ83" s="387"/>
      <c r="CK83" s="387"/>
      <c r="CL83" s="387"/>
      <c r="CM83" s="387"/>
    </row>
    <row r="84" spans="41:91" ht="21" x14ac:dyDescent="0.35">
      <c r="AO84" s="251" t="s">
        <v>95</v>
      </c>
      <c r="AP84" s="251"/>
      <c r="AQ84" s="251"/>
    </row>
    <row r="86" spans="41:91" ht="21" x14ac:dyDescent="0.35">
      <c r="AO86" s="252"/>
      <c r="AP86" s="252"/>
      <c r="AQ86" s="252"/>
    </row>
    <row r="87" spans="41:91" ht="15.75" x14ac:dyDescent="0.25">
      <c r="AS87" s="374" t="s">
        <v>81</v>
      </c>
      <c r="AT87" s="477" t="s">
        <v>600</v>
      </c>
      <c r="AU87" s="477"/>
      <c r="AV87" s="478" t="s">
        <v>598</v>
      </c>
      <c r="AW87" s="477" t="s">
        <v>601</v>
      </c>
      <c r="AX87" s="477"/>
      <c r="AY87" s="478" t="s">
        <v>599</v>
      </c>
      <c r="AZ87" s="477" t="s">
        <v>602</v>
      </c>
      <c r="BA87" s="477"/>
    </row>
    <row r="88" spans="41:91" ht="15.75" x14ac:dyDescent="0.25">
      <c r="AS88" s="249"/>
      <c r="AT88" s="374" t="s">
        <v>92</v>
      </c>
      <c r="AU88" s="373" t="s">
        <v>94</v>
      </c>
      <c r="AV88" s="479"/>
      <c r="AW88" s="374" t="s">
        <v>96</v>
      </c>
      <c r="AX88" s="373" t="s">
        <v>93</v>
      </c>
      <c r="AY88" s="479"/>
      <c r="AZ88" s="374" t="s">
        <v>96</v>
      </c>
      <c r="BA88" s="373" t="s">
        <v>93</v>
      </c>
    </row>
    <row r="89" spans="41:91" x14ac:dyDescent="0.25">
      <c r="AO89" s="392" t="s">
        <v>603</v>
      </c>
    </row>
    <row r="90" spans="41:91" x14ac:dyDescent="0.25">
      <c r="AQ90" t="s">
        <v>588</v>
      </c>
      <c r="AS90" s="387">
        <f>SUM(SUMIFS(AS2:AS76,CN2:CN76,AQ90,E2:E76,"0229",F2:F76,"00",AT2:AT76,{1,3}))</f>
        <v>63</v>
      </c>
      <c r="AT90" s="387">
        <f>SUMPRODUCT(--(CN2:CN76=AQ90),--(N2:N76&lt;&gt;"NG"),--(AG2:AG76&lt;&gt;"D"),--(AR2:AR76&lt;&gt;6),--(AR2:AR76&lt;&gt;36),--(AR2:AR76&lt;&gt;56),T2:T76)+SUMPRODUCT(--(CN2:CN76=AQ90),--(N2:N76&lt;&gt;"NG"),--(AG2:AG76&lt;&gt;"D"),--(AR2:AR76&lt;&gt;6),--(AR2:AR76&lt;&gt;36),--(AR2:AR76&lt;&gt;56),U2:U76)</f>
        <v>4725799.9799999967</v>
      </c>
      <c r="AU90" s="387">
        <f>SUMPRODUCT(--(CN2:CN76=AQ90),--(N2:N76&lt;&gt;"NG"),--(AG2:AG76&lt;&gt;"D"),--(AR2:AR76&lt;&gt;6),--(AR2:AR76&lt;&gt;36),--(AR2:AR76&lt;&gt;56),V2:V76)</f>
        <v>1740804.7799999993</v>
      </c>
      <c r="AV90" s="387">
        <f>SUMPRODUCT(--(CN2:CN76=AQ90),AY2:AY76)+SUMPRODUCT(--(CN2:CN76=AQ90),AZ2:AZ76)</f>
        <v>4917431.9999999991</v>
      </c>
      <c r="AW90" s="387">
        <f>SUMPRODUCT(--(CN2:CN76=AQ90),BB2:BB76)+SUMPRODUCT(--(CN2:CN76=AQ90),BC2:BC76)</f>
        <v>787500</v>
      </c>
      <c r="AX90" s="387">
        <f>SUMPRODUCT(--(CN2:CN76=AQ90),BL2:BL76)+SUMPRODUCT(--(CN2:CN76=AQ90),BM2:BM76)</f>
        <v>1028200.2032879995</v>
      </c>
      <c r="AY90" s="387">
        <f>SUMPRODUCT(--(CN2:CN76=AQ90),AY2:AY76)+SUMPRODUCT(--(CN2:CN76=AQ90),AZ2:AZ76)+SUMPRODUCT(--(CN2:CN76=AQ90),BA2:BA76)</f>
        <v>4917431.9999999991</v>
      </c>
      <c r="AZ90" s="387">
        <f>SUMPRODUCT(--(CN2:CN76=AQ90),BN2:BN76)+SUMPRODUCT(--(CN2:CN76=AQ90),BO2:BO76)</f>
        <v>866250</v>
      </c>
      <c r="BA90" s="387">
        <f>SUMPRODUCT(--(CN2:CN76=AQ90),BX2:BX76)+SUMPRODUCT(--(CN2:CN76=AQ90),BY2:BY76)</f>
        <v>992563.34968799993</v>
      </c>
    </row>
    <row r="91" spans="41:91" x14ac:dyDescent="0.25">
      <c r="AP91" t="s">
        <v>604</v>
      </c>
      <c r="AS91" s="398">
        <f t="shared" ref="AS91:BA91" si="117">SUM(AS90:AS90)</f>
        <v>63</v>
      </c>
      <c r="AT91" s="398">
        <f t="shared" si="117"/>
        <v>4725799.9799999967</v>
      </c>
      <c r="AU91" s="398">
        <f t="shared" si="117"/>
        <v>1740804.7799999993</v>
      </c>
      <c r="AV91" s="398">
        <f t="shared" si="117"/>
        <v>4917431.9999999991</v>
      </c>
      <c r="AW91" s="398">
        <f t="shared" si="117"/>
        <v>787500</v>
      </c>
      <c r="AX91" s="398">
        <f t="shared" si="117"/>
        <v>1028200.2032879995</v>
      </c>
      <c r="AY91" s="398">
        <f t="shared" si="117"/>
        <v>4917431.9999999991</v>
      </c>
      <c r="AZ91" s="398">
        <f t="shared" si="117"/>
        <v>866250</v>
      </c>
      <c r="BA91" s="398">
        <f t="shared" si="117"/>
        <v>992563.34968799993</v>
      </c>
    </row>
    <row r="92" spans="41:91" x14ac:dyDescent="0.25">
      <c r="AS92" s="387"/>
      <c r="AT92" s="387"/>
      <c r="AU92" s="387"/>
      <c r="AV92" s="387"/>
      <c r="AW92" s="387"/>
      <c r="AX92" s="387"/>
      <c r="AY92" s="387"/>
      <c r="AZ92" s="387"/>
      <c r="BA92" s="387"/>
    </row>
    <row r="93" spans="41:91" x14ac:dyDescent="0.25">
      <c r="AO93" s="396" t="s">
        <v>605</v>
      </c>
      <c r="AS93" s="399">
        <f t="shared" ref="AS93:BA93" si="118">SUM(AS91)</f>
        <v>63</v>
      </c>
      <c r="AT93" s="399">
        <f t="shared" si="118"/>
        <v>4725799.9799999967</v>
      </c>
      <c r="AU93" s="399">
        <f t="shared" si="118"/>
        <v>1740804.7799999993</v>
      </c>
      <c r="AV93" s="399">
        <f t="shared" si="118"/>
        <v>4917431.9999999991</v>
      </c>
      <c r="AW93" s="399">
        <f t="shared" si="118"/>
        <v>787500</v>
      </c>
      <c r="AX93" s="399">
        <f t="shared" si="118"/>
        <v>1028200.2032879995</v>
      </c>
      <c r="AY93" s="399">
        <f t="shared" si="118"/>
        <v>4917431.9999999991</v>
      </c>
      <c r="AZ93" s="399">
        <f t="shared" si="118"/>
        <v>866250</v>
      </c>
      <c r="BA93" s="399">
        <f t="shared" si="118"/>
        <v>992563.34968799993</v>
      </c>
    </row>
    <row r="94" spans="41:91" x14ac:dyDescent="0.25">
      <c r="AS94" s="387"/>
      <c r="AT94" s="387"/>
      <c r="AU94" s="387"/>
      <c r="AV94" s="387"/>
      <c r="AW94" s="387"/>
      <c r="AX94" s="387"/>
      <c r="AY94" s="387"/>
      <c r="AZ94" s="387"/>
      <c r="BA94" s="387"/>
    </row>
    <row r="95" spans="41:91" x14ac:dyDescent="0.25">
      <c r="AO95" s="392" t="s">
        <v>606</v>
      </c>
      <c r="AS95" s="387"/>
      <c r="AT95" s="387"/>
      <c r="AU95" s="387"/>
      <c r="AV95" s="387"/>
      <c r="AW95" s="387"/>
      <c r="AX95" s="387"/>
      <c r="AY95" s="387"/>
      <c r="AZ95" s="387"/>
      <c r="BA95" s="387"/>
    </row>
    <row r="96" spans="41:91" x14ac:dyDescent="0.25">
      <c r="AQ96" t="s">
        <v>588</v>
      </c>
      <c r="AS96" s="387"/>
      <c r="AT96" s="387">
        <f>SUMIF(CN2:CN76,AQ96,CL2:CL76)</f>
        <v>4620</v>
      </c>
      <c r="AU96" s="387">
        <f>SUMIF(CN2:CN76,AQ96,CM2:CM76)</f>
        <v>393.87</v>
      </c>
      <c r="AV96" s="387">
        <f>SUMIF(CN2:CN76,AQ96,CL2:CL76)</f>
        <v>4620</v>
      </c>
      <c r="AW96" s="387">
        <v>0</v>
      </c>
      <c r="AX96" s="387">
        <f>SUMIF(CN2:CN76,AQ96,CM2:CM76)</f>
        <v>393.87</v>
      </c>
      <c r="AY96" s="387">
        <f>SUMIF(CN2:CN76,AQ96,CL2:CL76)</f>
        <v>4620</v>
      </c>
      <c r="AZ96" s="387">
        <v>0</v>
      </c>
      <c r="BA96" s="387">
        <f>SUMIF(CN2:CN76,AQ96,CM2:CM76)</f>
        <v>393.87</v>
      </c>
    </row>
    <row r="97" spans="41:144" x14ac:dyDescent="0.25">
      <c r="AP97" t="s">
        <v>604</v>
      </c>
      <c r="AS97" s="398"/>
      <c r="AT97" s="398">
        <f t="shared" ref="AT97:BA97" si="119">SUM(AT96:AT96)</f>
        <v>4620</v>
      </c>
      <c r="AU97" s="398">
        <f t="shared" si="119"/>
        <v>393.87</v>
      </c>
      <c r="AV97" s="398">
        <f t="shared" si="119"/>
        <v>4620</v>
      </c>
      <c r="AW97" s="398">
        <f t="shared" si="119"/>
        <v>0</v>
      </c>
      <c r="AX97" s="398">
        <f t="shared" si="119"/>
        <v>393.87</v>
      </c>
      <c r="AY97" s="398">
        <f t="shared" si="119"/>
        <v>4620</v>
      </c>
      <c r="AZ97" s="398">
        <f t="shared" si="119"/>
        <v>0</v>
      </c>
      <c r="BA97" s="398">
        <f t="shared" si="119"/>
        <v>393.87</v>
      </c>
    </row>
    <row r="98" spans="41:144" x14ac:dyDescent="0.25">
      <c r="AS98" s="387"/>
      <c r="AT98" s="387"/>
      <c r="AU98" s="387"/>
      <c r="AV98" s="387"/>
      <c r="AW98" s="387"/>
      <c r="AX98" s="387"/>
      <c r="AY98" s="387"/>
      <c r="AZ98" s="387"/>
      <c r="BA98" s="387"/>
    </row>
    <row r="99" spans="41:144" x14ac:dyDescent="0.25">
      <c r="AO99" s="396" t="s">
        <v>607</v>
      </c>
      <c r="AS99" s="399">
        <f t="shared" ref="AS99:BA99" si="120">SUM(AS97)</f>
        <v>0</v>
      </c>
      <c r="AT99" s="399">
        <f t="shared" si="120"/>
        <v>4620</v>
      </c>
      <c r="AU99" s="399">
        <f t="shared" si="120"/>
        <v>393.87</v>
      </c>
      <c r="AV99" s="399">
        <f t="shared" si="120"/>
        <v>4620</v>
      </c>
      <c r="AW99" s="399">
        <f t="shared" si="120"/>
        <v>0</v>
      </c>
      <c r="AX99" s="399">
        <f t="shared" si="120"/>
        <v>393.87</v>
      </c>
      <c r="AY99" s="399">
        <f t="shared" si="120"/>
        <v>4620</v>
      </c>
      <c r="AZ99" s="399">
        <f t="shared" si="120"/>
        <v>0</v>
      </c>
      <c r="BA99" s="399">
        <f t="shared" si="120"/>
        <v>393.87</v>
      </c>
      <c r="EH99" s="392"/>
      <c r="EN99" s="392"/>
    </row>
    <row r="100" spans="41:144" x14ac:dyDescent="0.25">
      <c r="AS100" s="387"/>
      <c r="AT100" s="387"/>
      <c r="AU100" s="387"/>
      <c r="AV100" s="387"/>
      <c r="AW100" s="387"/>
      <c r="AX100" s="387"/>
      <c r="AY100" s="387"/>
      <c r="AZ100" s="387"/>
      <c r="BA100" s="387"/>
    </row>
    <row r="101" spans="41:144" x14ac:dyDescent="0.25">
      <c r="AO101" s="397" t="s">
        <v>608</v>
      </c>
      <c r="AS101" s="400">
        <f t="shared" ref="AS101:BA101" si="121">SUM(AS93,AS99)</f>
        <v>63</v>
      </c>
      <c r="AT101" s="401">
        <f t="shared" si="121"/>
        <v>4730419.9799999967</v>
      </c>
      <c r="AU101" s="401">
        <f t="shared" si="121"/>
        <v>1741198.6499999994</v>
      </c>
      <c r="AV101" s="401">
        <f t="shared" si="121"/>
        <v>4922051.9999999991</v>
      </c>
      <c r="AW101" s="401">
        <f t="shared" si="121"/>
        <v>787500</v>
      </c>
      <c r="AX101" s="401">
        <f t="shared" si="121"/>
        <v>1028594.0732879995</v>
      </c>
      <c r="AY101" s="401">
        <f t="shared" si="121"/>
        <v>4922051.9999999991</v>
      </c>
      <c r="AZ101" s="401">
        <f t="shared" si="121"/>
        <v>866250</v>
      </c>
      <c r="BA101" s="401">
        <f t="shared" si="121"/>
        <v>992957.21968799992</v>
      </c>
    </row>
  </sheetData>
  <mergeCells count="5">
    <mergeCell ref="AT87:AU87"/>
    <mergeCell ref="AV87:AV88"/>
    <mergeCell ref="AW87:AX87"/>
    <mergeCell ref="AY87:AY88"/>
    <mergeCell ref="AZ87:BA8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K9" sqref="K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0"/>
      <c r="B1" s="480"/>
      <c r="C1" s="480"/>
      <c r="D1" s="480"/>
      <c r="E1" s="480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1E-3</v>
      </c>
      <c r="D8" s="234">
        <v>1.2999999999999999E-3</v>
      </c>
      <c r="E8" s="314">
        <f t="shared" si="0"/>
        <v>2.9999999999999992E-4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9.0244999999999992E-2</v>
      </c>
      <c r="D12" s="234">
        <f>SUM(D5:D11)</f>
        <v>9.0544999999999987E-2</v>
      </c>
      <c r="E12" s="315">
        <f>D12-C12</f>
        <v>2.9999999999999472E-4</v>
      </c>
      <c r="M12" s="320"/>
    </row>
    <row r="13" spans="1:15" x14ac:dyDescent="0.3">
      <c r="A13" s="3"/>
      <c r="B13" s="231" t="s">
        <v>9</v>
      </c>
      <c r="C13" s="226">
        <f>SUM(C5:C8)</f>
        <v>7.7499999999999999E-2</v>
      </c>
      <c r="D13" s="226">
        <f>SUM(D5:D8)</f>
        <v>7.7799999999999994E-2</v>
      </c>
      <c r="E13" s="313">
        <f t="shared" si="0"/>
        <v>2.9999999999999472E-4</v>
      </c>
      <c r="F13" s="8"/>
    </row>
    <row r="14" spans="1:15" x14ac:dyDescent="0.3">
      <c r="A14" s="230"/>
      <c r="B14" s="232" t="s">
        <v>100</v>
      </c>
      <c r="C14" s="226">
        <f>SUM(C5:C6,C8:C9)</f>
        <v>8.4709999999999994E-2</v>
      </c>
      <c r="D14" s="226">
        <f>SUM(D5:D6,D8:D9)</f>
        <v>8.5009999999999988E-2</v>
      </c>
      <c r="E14" s="313">
        <f>D14-C14</f>
        <v>2.9999999999999472E-4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1" t="s">
        <v>108</v>
      </c>
      <c r="B28" s="481"/>
      <c r="C28" s="481"/>
      <c r="D28" s="481"/>
      <c r="E28" s="481"/>
    </row>
    <row r="29" spans="1:11" x14ac:dyDescent="0.3">
      <c r="A29" s="481" t="s">
        <v>109</v>
      </c>
      <c r="B29" s="481"/>
      <c r="C29" s="481"/>
      <c r="D29" s="481"/>
      <c r="E29" s="481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0"/>
      <c r="N1" s="471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2"/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0"/>
      <c r="N3" s="471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/>
      <c r="J5" s="474"/>
      <c r="K5" s="474"/>
      <c r="L5" s="473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5" t="s">
        <v>22</v>
      </c>
      <c r="D8" s="476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590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5" t="s">
        <v>22</v>
      </c>
      <c r="B2" s="476"/>
      <c r="C2" s="371" t="s">
        <v>23</v>
      </c>
      <c r="D2" s="49" t="s">
        <v>24</v>
      </c>
      <c r="E2" s="50" t="str">
        <f>"FY "&amp;'FIAA|0229-00'!FiscalYear-1&amp;" SALARY"</f>
        <v>FY 2023 SALARY</v>
      </c>
      <c r="F2" s="50" t="str">
        <f>"FY "&amp;'FIAA|0229-00'!FiscalYear-1&amp;" HEALTH BENEFITS"</f>
        <v>FY 2023 HEALTH BENEFITS</v>
      </c>
      <c r="G2" s="50" t="str">
        <f>"FY "&amp;'FIAA|0229-00'!FiscalYear-1&amp;" VAR BENEFITS"</f>
        <v>FY 2023 VAR BENEFITS</v>
      </c>
      <c r="H2" s="50" t="str">
        <f>"FY "&amp;'FIAA|0229-00'!FiscalYear-1&amp;" TOTAL"</f>
        <v>FY 2023 TOTAL</v>
      </c>
      <c r="I2" s="50" t="str">
        <f>"FY "&amp;'FIAA|0229-00'!FiscalYear&amp;" SALARY CHANGE"</f>
        <v>FY 2024 SALARY CHANGE</v>
      </c>
      <c r="J2" s="50" t="str">
        <f>"FY "&amp;'FIAA|0229-00'!FiscalYear&amp;" CHG HEALTH BENEFITS"</f>
        <v>FY 2024 CHG HEALTH BENEFITS</v>
      </c>
      <c r="K2" s="50" t="str">
        <f>"FY "&amp;'FIAA|0229-00'!FiscalYear&amp;" CHG VAR BENEFITS"</f>
        <v>FY 2024 CHG VAR BENEFITS</v>
      </c>
      <c r="L2" s="50" t="s">
        <v>25</v>
      </c>
    </row>
    <row r="3" spans="1:12" x14ac:dyDescent="0.25">
      <c r="A3" s="467" t="s">
        <v>26</v>
      </c>
      <c r="B3" s="468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6" t="s">
        <v>27</v>
      </c>
      <c r="B4" s="469"/>
      <c r="C4" s="217">
        <v>1</v>
      </c>
      <c r="D4" s="288">
        <f>[0]!FIAA022900col_INC_FTI</f>
        <v>63</v>
      </c>
      <c r="E4" s="218">
        <f>[0]!FIAA022900col_FTI_SALARY_PERM</f>
        <v>4917431.9999999991</v>
      </c>
      <c r="F4" s="218">
        <f>[0]!FIAA022900col_HEALTH_PERM</f>
        <v>787500</v>
      </c>
      <c r="G4" s="218">
        <f>[0]!FIAA022900col_TOT_VB_PERM</f>
        <v>1028200.2032879995</v>
      </c>
      <c r="H4" s="219">
        <f>SUM(E4:G4)</f>
        <v>6733132.2032879982</v>
      </c>
      <c r="I4" s="219">
        <f>[0]!FIAA022900col_1_27TH_PP</f>
        <v>0</v>
      </c>
      <c r="J4" s="218">
        <f>[0]!FIAA022900col_HEALTH_PERM_CHG</f>
        <v>78750</v>
      </c>
      <c r="K4" s="218">
        <f>[0]!FIAA022900col_TOT_VB_PERM_CHG</f>
        <v>-35636.853600000053</v>
      </c>
      <c r="L4" s="218">
        <f>SUM(J4:K4)</f>
        <v>43113.146399999947</v>
      </c>
    </row>
    <row r="5" spans="1:12" x14ac:dyDescent="0.25">
      <c r="A5" s="446" t="s">
        <v>28</v>
      </c>
      <c r="B5" s="469"/>
      <c r="C5" s="217">
        <v>2</v>
      </c>
      <c r="D5" s="288"/>
      <c r="E5" s="218">
        <f>[0]!FIAA022900col_Group_Salary</f>
        <v>4620</v>
      </c>
      <c r="F5" s="218">
        <v>0</v>
      </c>
      <c r="G5" s="218">
        <f>[0]!FIAA022900col_Group_Ben</f>
        <v>393.87</v>
      </c>
      <c r="H5" s="219">
        <f>SUM(E5:G5)</f>
        <v>5013.87</v>
      </c>
      <c r="I5" s="268"/>
      <c r="J5" s="218"/>
      <c r="K5" s="218"/>
      <c r="L5" s="218"/>
    </row>
    <row r="6" spans="1:12" x14ac:dyDescent="0.25">
      <c r="A6" s="446" t="s">
        <v>29</v>
      </c>
      <c r="B6" s="447"/>
      <c r="C6" s="217">
        <v>3</v>
      </c>
      <c r="D6" s="288">
        <f>[0]!FIAA022900col_TOTAL_ELECT_PCN_FTI</f>
        <v>0</v>
      </c>
      <c r="E6" s="218">
        <f>[0]!FIAA022900col_FTI_SALARY_ELECT</f>
        <v>0</v>
      </c>
      <c r="F6" s="218">
        <f>[0]!FIAA022900col_HEALTH_ELECT</f>
        <v>0</v>
      </c>
      <c r="G6" s="218">
        <f>[0]!FIAA022900col_TOT_VB_ELECT</f>
        <v>0</v>
      </c>
      <c r="H6" s="219">
        <f>SUM(E6:G6)</f>
        <v>0</v>
      </c>
      <c r="I6" s="268"/>
      <c r="J6" s="218">
        <f>[0]!FIAA022900col_HEALTH_ELECT_CHG</f>
        <v>0</v>
      </c>
      <c r="K6" s="218">
        <f>[0]!FIAA022900col_TOT_VB_ELECT_CHG</f>
        <v>0</v>
      </c>
      <c r="L6" s="219">
        <f>SUM(J6:K6)</f>
        <v>0</v>
      </c>
    </row>
    <row r="7" spans="1:12" x14ac:dyDescent="0.25">
      <c r="A7" s="446" t="s">
        <v>30</v>
      </c>
      <c r="B7" s="469"/>
      <c r="C7" s="217"/>
      <c r="D7" s="220">
        <f>SUM(D4:D6)</f>
        <v>63</v>
      </c>
      <c r="E7" s="221">
        <f>SUM(E4:E6)</f>
        <v>4922051.9999999991</v>
      </c>
      <c r="F7" s="221">
        <f>SUM(F4:F6)</f>
        <v>787500</v>
      </c>
      <c r="G7" s="221">
        <f>SUM(G4:G6)</f>
        <v>1028594.0732879995</v>
      </c>
      <c r="H7" s="219">
        <f>SUM(E7:G7)</f>
        <v>6738146.0732879983</v>
      </c>
      <c r="I7" s="268"/>
      <c r="J7" s="219">
        <f>SUM(J4:J6)</f>
        <v>78750</v>
      </c>
      <c r="K7" s="219">
        <f>SUM(K4:K6)</f>
        <v>-35636.853600000053</v>
      </c>
      <c r="L7" s="219">
        <f>SUM(L4:L6)</f>
        <v>43113.146399999947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"&amp;'FIAA|0229-00'!FiscalYear-1</f>
        <v>FY 2023</v>
      </c>
      <c r="B9" s="158" t="s">
        <v>31</v>
      </c>
      <c r="C9" s="355">
        <v>7850900</v>
      </c>
      <c r="D9" s="55">
        <v>70</v>
      </c>
      <c r="E9" s="223">
        <f>IF('FIAA|0229-00'!OrigApprop=0,0,(E7/H7)*'FIAA|0229-00'!OrigApprop)</f>
        <v>5734891.7085651243</v>
      </c>
      <c r="F9" s="223">
        <f>IF('FIAA|0229-00'!OrigApprop=0,0,(F7/H7)*'FIAA|0229-00'!OrigApprop)</f>
        <v>917549.67653633817</v>
      </c>
      <c r="G9" s="223">
        <f>IF(E9=0,0,(G7/H7)*'FIAA|0229-00'!OrigApprop)</f>
        <v>1198458.6148985378</v>
      </c>
      <c r="H9" s="223">
        <f>SUM(E9:G9)</f>
        <v>7850900</v>
      </c>
      <c r="I9" s="268"/>
      <c r="J9" s="224"/>
      <c r="K9" s="224"/>
      <c r="L9" s="224"/>
    </row>
    <row r="10" spans="1:12" x14ac:dyDescent="0.25">
      <c r="A10" s="456" t="s">
        <v>32</v>
      </c>
      <c r="B10" s="457"/>
      <c r="C10" s="160" t="s">
        <v>33</v>
      </c>
      <c r="D10" s="161">
        <f>D9-D7</f>
        <v>7</v>
      </c>
      <c r="E10" s="162">
        <f>E9-E7</f>
        <v>812839.70856512524</v>
      </c>
      <c r="F10" s="162">
        <f>F9-F7</f>
        <v>130049.67653633817</v>
      </c>
      <c r="G10" s="162">
        <f>G9-G7</f>
        <v>169864.54161053826</v>
      </c>
      <c r="H10" s="162">
        <f>H9-H7</f>
        <v>1112753.9267120017</v>
      </c>
      <c r="I10" s="269"/>
      <c r="J10" s="56" t="str">
        <f>IF('FIAA|0229-00'!OrigApprop=0,"No Original Appropriation amount in DU 3.00 for this fund","Calculated "&amp;IF('FIAA|0229-00'!AdjustedTotal&gt;0,"overfunding ","underfunding ")&amp;"is "&amp;TEXT('FIAA|0229-00'!AdjustedTotal/'FIAA|0229-00'!AppropTotal,"#.0%;(#.0% );0% ;")&amp;" of Original Appropriation")</f>
        <v>Calculated overfunding is 14.2% of Original Appropriation</v>
      </c>
      <c r="K10" s="163"/>
      <c r="L10" s="164"/>
    </row>
    <row r="12" spans="1:12" x14ac:dyDescent="0.25">
      <c r="A12" s="395" t="s">
        <v>596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5" t="s">
        <v>22</v>
      </c>
      <c r="B13" s="476"/>
      <c r="C13" s="371" t="s">
        <v>23</v>
      </c>
      <c r="D13" s="49" t="s">
        <v>24</v>
      </c>
      <c r="E13" s="50" t="str">
        <f>"FY "&amp;'FIAA|0325-27'!FiscalYear-1&amp;" SALARY"</f>
        <v>FY 2023 SALARY</v>
      </c>
      <c r="F13" s="50" t="str">
        <f>"FY "&amp;'FIAA|0325-27'!FiscalYear-1&amp;" HEALTH BENEFITS"</f>
        <v>FY 2023 HEALTH BENEFITS</v>
      </c>
      <c r="G13" s="50" t="str">
        <f>"FY "&amp;'FIAA|0325-27'!FiscalYear-1&amp;" VAR BENEFITS"</f>
        <v>FY 2023 VAR BENEFITS</v>
      </c>
      <c r="H13" s="50" t="str">
        <f>"FY "&amp;'FIAA|0325-27'!FiscalYear-1&amp;" TOTAL"</f>
        <v>FY 2023 TOTAL</v>
      </c>
      <c r="I13" s="50" t="str">
        <f>"FY "&amp;'FIAA|0325-27'!FiscalYear&amp;" SALARY CHANGE"</f>
        <v>FY 2024 SALARY CHANGE</v>
      </c>
      <c r="J13" s="50" t="str">
        <f>"FY "&amp;'FIAA|0325-27'!FiscalYear&amp;" CHG HEALTH BENEFITS"</f>
        <v>FY 2024 CHG HEALTH BENEFITS</v>
      </c>
      <c r="K13" s="50" t="str">
        <f>"FY "&amp;'FIAA|0325-27'!FiscalYear&amp;" CHG VAR BENEFITS"</f>
        <v>FY 2024 CHG VAR BENEFITS</v>
      </c>
      <c r="L13" s="50" t="s">
        <v>25</v>
      </c>
    </row>
    <row r="14" spans="1:12" x14ac:dyDescent="0.25">
      <c r="A14" s="467" t="s">
        <v>26</v>
      </c>
      <c r="B14" s="468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6" t="s">
        <v>27</v>
      </c>
      <c r="B15" s="469"/>
      <c r="C15" s="217">
        <v>1</v>
      </c>
      <c r="D15" s="288">
        <f>[0]!FIAA032527col_INC_FTI</f>
        <v>0</v>
      </c>
      <c r="E15" s="218">
        <f>[0]!FIAA032527col_FTI_SALARY_PERM</f>
        <v>0</v>
      </c>
      <c r="F15" s="218">
        <f>[0]!FIAA032527col_HEALTH_PERM</f>
        <v>0</v>
      </c>
      <c r="G15" s="218">
        <f>[0]!FIAA032527col_TOT_VB_PERM</f>
        <v>0</v>
      </c>
      <c r="H15" s="219">
        <f>SUM(E15:G15)</f>
        <v>0</v>
      </c>
      <c r="I15" s="219">
        <f>[0]!FIAA032527col_1_27TH_PP</f>
        <v>0</v>
      </c>
      <c r="J15" s="218">
        <f>[0]!FIAA032527col_HEALTH_PERM_CHG</f>
        <v>0</v>
      </c>
      <c r="K15" s="218">
        <f>[0]!FIAA032527col_TOT_VB_PERM_CHG</f>
        <v>0</v>
      </c>
      <c r="L15" s="218">
        <f>SUM(J15:K15)</f>
        <v>0</v>
      </c>
    </row>
    <row r="16" spans="1:12" x14ac:dyDescent="0.25">
      <c r="A16" s="446" t="s">
        <v>28</v>
      </c>
      <c r="B16" s="469"/>
      <c r="C16" s="217">
        <v>2</v>
      </c>
      <c r="D16" s="288"/>
      <c r="E16" s="218">
        <f>[0]!FIAA032527col_Group_Salary</f>
        <v>0</v>
      </c>
      <c r="F16" s="218">
        <v>0</v>
      </c>
      <c r="G16" s="218">
        <f>[0]!FIAA032527col_Group_Ben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6" t="s">
        <v>29</v>
      </c>
      <c r="B17" s="447"/>
      <c r="C17" s="217">
        <v>3</v>
      </c>
      <c r="D17" s="288">
        <f>[0]!FIAA032527col_TOTAL_ELECT_PCN_FTI</f>
        <v>0</v>
      </c>
      <c r="E17" s="218">
        <f>[0]!FIAA032527col_FTI_SALARY_ELECT</f>
        <v>0</v>
      </c>
      <c r="F17" s="218">
        <f>[0]!FIAA032527col_HEALTH_ELECT</f>
        <v>0</v>
      </c>
      <c r="G17" s="218">
        <f>[0]!FIAA032527col_TOT_VB_ELECT</f>
        <v>0</v>
      </c>
      <c r="H17" s="219">
        <f>SUM(E17:G17)</f>
        <v>0</v>
      </c>
      <c r="I17" s="268"/>
      <c r="J17" s="218">
        <f>[0]!FIAA032527col_HEALTH_ELECT_CHG</f>
        <v>0</v>
      </c>
      <c r="K17" s="218">
        <f>[0]!FIAA032527col_TOT_VB_ELECT_CHG</f>
        <v>0</v>
      </c>
      <c r="L17" s="219">
        <f>SUM(J17:K17)</f>
        <v>0</v>
      </c>
    </row>
    <row r="18" spans="1:12" x14ac:dyDescent="0.25">
      <c r="A18" s="446" t="s">
        <v>30</v>
      </c>
      <c r="B18" s="469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"&amp;'FIAA|0325-27'!FiscalYear-1</f>
        <v>FY 2023</v>
      </c>
      <c r="B20" s="158" t="s">
        <v>31</v>
      </c>
      <c r="C20" s="355">
        <v>50000</v>
      </c>
      <c r="D20" s="55">
        <v>0</v>
      </c>
      <c r="E20" s="223" t="e">
        <f>IF('FIAA|0325-27'!OrigApprop=0,0,(E18/H18)*'FIAA|0325-27'!OrigApprop)</f>
        <v>#DIV/0!</v>
      </c>
      <c r="F20" s="223" t="e">
        <f>IF('FIAA|0325-27'!OrigApprop=0,0,(F18/H18)*'FIAA|0325-27'!OrigApprop)</f>
        <v>#DIV/0!</v>
      </c>
      <c r="G20" s="223" t="e">
        <f>IF(E20=0,0,(G18/H18)*'FIAA|0325-27'!OrigApprop)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 x14ac:dyDescent="0.25">
      <c r="A21" s="456" t="s">
        <v>32</v>
      </c>
      <c r="B21" s="457"/>
      <c r="C21" s="160" t="s">
        <v>33</v>
      </c>
      <c r="D21" s="161">
        <f>D20-D18</f>
        <v>0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IF('FIAA|0325-27'!OrigApprop=0,"No Original Appropriation amount in DU 3.00 for this fund","Calculated "&amp;IF('FIAA|0325-27'!AdjustedTotal&gt;0,"overfunding ","underfunding ")&amp;"is "&amp;TEXT('FIAA|0325-27'!AdjustedTotal/'FIAA|0325-27'!AppropTotal,"#.0%;(#.0% );0% ;")&amp;" of Original Appropriation")</f>
        <v>#DIV/0!</v>
      </c>
      <c r="K21" s="163"/>
      <c r="L21" s="164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Finance&amp;R&amp;"Arial"&amp;10 Agency 250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7" t="s">
        <v>600</v>
      </c>
      <c r="G5" s="477"/>
      <c r="H5" s="478" t="s">
        <v>598</v>
      </c>
      <c r="I5" s="477" t="s">
        <v>601</v>
      </c>
      <c r="J5" s="477"/>
      <c r="K5" s="478" t="s">
        <v>599</v>
      </c>
      <c r="L5" s="477" t="s">
        <v>602</v>
      </c>
      <c r="M5" s="477"/>
    </row>
    <row r="6" spans="1:13" ht="15.75" x14ac:dyDescent="0.2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 x14ac:dyDescent="0.25">
      <c r="A7" s="392" t="s">
        <v>603</v>
      </c>
      <c r="D7" s="250"/>
    </row>
    <row r="8" spans="1:13" x14ac:dyDescent="0.25">
      <c r="C8" t="s">
        <v>588</v>
      </c>
      <c r="D8" s="250"/>
      <c r="E8" s="402">
        <f>Data!AS90</f>
        <v>63</v>
      </c>
      <c r="F8" s="402">
        <f>Data!AT90</f>
        <v>4725799.9799999967</v>
      </c>
      <c r="G8" s="402">
        <f>Data!AU90</f>
        <v>1740804.7799999993</v>
      </c>
      <c r="H8" s="402">
        <f>Data!AV90</f>
        <v>4917431.9999999991</v>
      </c>
      <c r="I8" s="402">
        <f>Data!AW90</f>
        <v>787500</v>
      </c>
      <c r="J8" s="402">
        <f>Data!AX90</f>
        <v>1028200.2032879995</v>
      </c>
      <c r="K8" s="402">
        <f>Data!AY90</f>
        <v>4917431.9999999991</v>
      </c>
      <c r="L8" s="402">
        <f>Data!AZ90</f>
        <v>866250</v>
      </c>
      <c r="M8" s="402">
        <f>Data!BA90</f>
        <v>992563.34968799993</v>
      </c>
    </row>
    <row r="9" spans="1:13" x14ac:dyDescent="0.25">
      <c r="B9" t="s">
        <v>604</v>
      </c>
      <c r="D9" s="250"/>
      <c r="E9" s="403">
        <f>Data!AS91</f>
        <v>63</v>
      </c>
      <c r="F9" s="403">
        <f>Data!AT91</f>
        <v>4725799.9799999967</v>
      </c>
      <c r="G9" s="403">
        <f>Data!AU91</f>
        <v>1740804.7799999993</v>
      </c>
      <c r="H9" s="403">
        <f>Data!AV91</f>
        <v>4917431.9999999991</v>
      </c>
      <c r="I9" s="403">
        <f>Data!AW91</f>
        <v>787500</v>
      </c>
      <c r="J9" s="403">
        <f>Data!AX91</f>
        <v>1028200.2032879995</v>
      </c>
      <c r="K9" s="403">
        <f>Data!AY91</f>
        <v>4917431.9999999991</v>
      </c>
      <c r="L9" s="403">
        <f>Data!AZ91</f>
        <v>866250</v>
      </c>
      <c r="M9" s="403">
        <f>Data!BA91</f>
        <v>992563.34968799993</v>
      </c>
    </row>
    <row r="10" spans="1:13" x14ac:dyDescent="0.25">
      <c r="D10" s="250"/>
      <c r="E10" s="402">
        <f>Data!AS92</f>
        <v>0</v>
      </c>
      <c r="F10" s="402">
        <f>Data!AT92</f>
        <v>0</v>
      </c>
      <c r="G10" s="402">
        <f>Data!AU92</f>
        <v>0</v>
      </c>
      <c r="H10" s="402">
        <f>Data!AV92</f>
        <v>0</v>
      </c>
      <c r="I10" s="402">
        <f>Data!AW92</f>
        <v>0</v>
      </c>
      <c r="J10" s="402">
        <f>Data!AX92</f>
        <v>0</v>
      </c>
      <c r="K10" s="402">
        <f>Data!AY92</f>
        <v>0</v>
      </c>
      <c r="L10" s="402">
        <f>Data!AZ92</f>
        <v>0</v>
      </c>
      <c r="M10" s="402">
        <f>Data!BA92</f>
        <v>0</v>
      </c>
    </row>
    <row r="11" spans="1:13" x14ac:dyDescent="0.25">
      <c r="A11" s="396" t="s">
        <v>605</v>
      </c>
      <c r="D11" s="250"/>
      <c r="E11" s="404">
        <f>Data!AS93</f>
        <v>63</v>
      </c>
      <c r="F11" s="404">
        <f>Data!AT93</f>
        <v>4725799.9799999967</v>
      </c>
      <c r="G11" s="404">
        <f>Data!AU93</f>
        <v>1740804.7799999993</v>
      </c>
      <c r="H11" s="404">
        <f>Data!AV93</f>
        <v>4917431.9999999991</v>
      </c>
      <c r="I11" s="404">
        <f>Data!AW93</f>
        <v>787500</v>
      </c>
      <c r="J11" s="404">
        <f>Data!AX93</f>
        <v>1028200.2032879995</v>
      </c>
      <c r="K11" s="404">
        <f>Data!AY93</f>
        <v>4917431.9999999991</v>
      </c>
      <c r="L11" s="404">
        <f>Data!AZ93</f>
        <v>866250</v>
      </c>
      <c r="M11" s="404">
        <f>Data!BA93</f>
        <v>992563.34968799993</v>
      </c>
    </row>
    <row r="12" spans="1:13" x14ac:dyDescent="0.25">
      <c r="D12" s="250"/>
      <c r="E12" s="402">
        <f>Data!AS94</f>
        <v>0</v>
      </c>
      <c r="F12" s="402">
        <f>Data!AT94</f>
        <v>0</v>
      </c>
      <c r="G12" s="402">
        <f>Data!AU94</f>
        <v>0</v>
      </c>
      <c r="H12" s="402">
        <f>Data!AV94</f>
        <v>0</v>
      </c>
      <c r="I12" s="402">
        <f>Data!AW94</f>
        <v>0</v>
      </c>
      <c r="J12" s="402">
        <f>Data!AX94</f>
        <v>0</v>
      </c>
      <c r="K12" s="402">
        <f>Data!AY94</f>
        <v>0</v>
      </c>
      <c r="L12" s="402">
        <f>Data!AZ94</f>
        <v>0</v>
      </c>
      <c r="M12" s="402">
        <f>Data!BA94</f>
        <v>0</v>
      </c>
    </row>
    <row r="13" spans="1:13" x14ac:dyDescent="0.25">
      <c r="A13" s="392" t="s">
        <v>606</v>
      </c>
      <c r="D13" s="250"/>
      <c r="E13" s="402">
        <f>Data!AS95</f>
        <v>0</v>
      </c>
      <c r="F13" s="402">
        <f>Data!AT95</f>
        <v>0</v>
      </c>
      <c r="G13" s="402">
        <f>Data!AU95</f>
        <v>0</v>
      </c>
      <c r="H13" s="402">
        <f>Data!AV95</f>
        <v>0</v>
      </c>
      <c r="I13" s="402">
        <f>Data!AW95</f>
        <v>0</v>
      </c>
      <c r="J13" s="402">
        <f>Data!AX95</f>
        <v>0</v>
      </c>
      <c r="K13" s="402">
        <f>Data!AY95</f>
        <v>0</v>
      </c>
      <c r="L13" s="402">
        <f>Data!AZ95</f>
        <v>0</v>
      </c>
      <c r="M13" s="402">
        <f>Data!BA95</f>
        <v>0</v>
      </c>
    </row>
    <row r="14" spans="1:13" x14ac:dyDescent="0.25">
      <c r="C14" t="s">
        <v>588</v>
      </c>
      <c r="E14" s="402">
        <f>Data!AS96</f>
        <v>0</v>
      </c>
      <c r="F14" s="402">
        <f>Data!AT96</f>
        <v>4620</v>
      </c>
      <c r="G14" s="402">
        <f>Data!AU96</f>
        <v>393.87</v>
      </c>
      <c r="H14" s="402">
        <f>Data!AV96</f>
        <v>4620</v>
      </c>
      <c r="I14" s="402">
        <f>Data!AW96</f>
        <v>0</v>
      </c>
      <c r="J14" s="402">
        <f>Data!AX96</f>
        <v>393.87</v>
      </c>
      <c r="K14" s="402">
        <f>Data!AY96</f>
        <v>4620</v>
      </c>
      <c r="L14" s="402">
        <f>Data!AZ96</f>
        <v>0</v>
      </c>
      <c r="M14" s="402">
        <f>Data!BA96</f>
        <v>393.87</v>
      </c>
    </row>
    <row r="15" spans="1:13" x14ac:dyDescent="0.25">
      <c r="B15" t="s">
        <v>604</v>
      </c>
      <c r="E15" s="403">
        <f>Data!AS97</f>
        <v>0</v>
      </c>
      <c r="F15" s="403">
        <f>Data!AT97</f>
        <v>4620</v>
      </c>
      <c r="G15" s="403">
        <f>Data!AU97</f>
        <v>393.87</v>
      </c>
      <c r="H15" s="403">
        <f>Data!AV97</f>
        <v>4620</v>
      </c>
      <c r="I15" s="403">
        <f>Data!AW97</f>
        <v>0</v>
      </c>
      <c r="J15" s="403">
        <f>Data!AX97</f>
        <v>393.87</v>
      </c>
      <c r="K15" s="403">
        <f>Data!AY97</f>
        <v>4620</v>
      </c>
      <c r="L15" s="403">
        <f>Data!AZ97</f>
        <v>0</v>
      </c>
      <c r="M15" s="403">
        <f>Data!BA97</f>
        <v>393.87</v>
      </c>
    </row>
    <row r="16" spans="1:13" x14ac:dyDescent="0.25">
      <c r="E16" s="402">
        <f>Data!AS98</f>
        <v>0</v>
      </c>
      <c r="F16" s="402">
        <f>Data!AT98</f>
        <v>0</v>
      </c>
      <c r="G16" s="402">
        <f>Data!AU98</f>
        <v>0</v>
      </c>
      <c r="H16" s="402">
        <f>Data!AV98</f>
        <v>0</v>
      </c>
      <c r="I16" s="402">
        <f>Data!AW98</f>
        <v>0</v>
      </c>
      <c r="J16" s="402">
        <f>Data!AX98</f>
        <v>0</v>
      </c>
      <c r="K16" s="402">
        <f>Data!AY98</f>
        <v>0</v>
      </c>
      <c r="L16" s="402">
        <f>Data!AZ98</f>
        <v>0</v>
      </c>
      <c r="M16" s="402">
        <f>Data!BA98</f>
        <v>0</v>
      </c>
    </row>
    <row r="17" spans="1:13" x14ac:dyDescent="0.25">
      <c r="A17" s="396" t="s">
        <v>607</v>
      </c>
      <c r="E17" s="404">
        <f>Data!AS99</f>
        <v>0</v>
      </c>
      <c r="F17" s="404">
        <f>Data!AT99</f>
        <v>4620</v>
      </c>
      <c r="G17" s="404">
        <f>Data!AU99</f>
        <v>393.87</v>
      </c>
      <c r="H17" s="404">
        <f>Data!AV99</f>
        <v>4620</v>
      </c>
      <c r="I17" s="404">
        <f>Data!AW99</f>
        <v>0</v>
      </c>
      <c r="J17" s="404">
        <f>Data!AX99</f>
        <v>393.87</v>
      </c>
      <c r="K17" s="404">
        <f>Data!AY99</f>
        <v>4620</v>
      </c>
      <c r="L17" s="404">
        <f>Data!AZ99</f>
        <v>0</v>
      </c>
      <c r="M17" s="404">
        <f>Data!BA99</f>
        <v>393.87</v>
      </c>
    </row>
    <row r="18" spans="1:13" x14ac:dyDescent="0.25">
      <c r="E18" s="402">
        <f>Data!AS100</f>
        <v>0</v>
      </c>
      <c r="F18" s="402">
        <f>Data!AT100</f>
        <v>0</v>
      </c>
      <c r="G18" s="402">
        <f>Data!AU100</f>
        <v>0</v>
      </c>
      <c r="H18" s="402">
        <f>Data!AV100</f>
        <v>0</v>
      </c>
      <c r="I18" s="402">
        <f>Data!AW100</f>
        <v>0</v>
      </c>
      <c r="J18" s="402">
        <f>Data!AX100</f>
        <v>0</v>
      </c>
      <c r="K18" s="402">
        <f>Data!AY100</f>
        <v>0</v>
      </c>
      <c r="L18" s="402">
        <f>Data!AZ100</f>
        <v>0</v>
      </c>
      <c r="M18" s="402">
        <f>Data!BA100</f>
        <v>0</v>
      </c>
    </row>
    <row r="19" spans="1:13" x14ac:dyDescent="0.25">
      <c r="A19" s="397" t="s">
        <v>608</v>
      </c>
      <c r="E19" s="400">
        <f>Data!AS101</f>
        <v>63</v>
      </c>
      <c r="F19" s="401">
        <f>Data!AT101</f>
        <v>4730419.9799999967</v>
      </c>
      <c r="G19" s="401">
        <f>Data!AU101</f>
        <v>1741198.6499999994</v>
      </c>
      <c r="H19" s="401">
        <f>Data!AV101</f>
        <v>4922051.9999999991</v>
      </c>
      <c r="I19" s="401">
        <f>Data!AW101</f>
        <v>787500</v>
      </c>
      <c r="J19" s="401">
        <f>Data!AX101</f>
        <v>1028594.0732879995</v>
      </c>
      <c r="K19" s="401">
        <f>Data!AY101</f>
        <v>4922051.9999999991</v>
      </c>
      <c r="L19" s="401">
        <f>Data!AZ101</f>
        <v>866250</v>
      </c>
      <c r="M19" s="401">
        <f>Data!BA101</f>
        <v>992957.21968799992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Department of Finance&amp;R&amp;"Arial"&amp;10 Agency 250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FIAA|0229-00</vt:lpstr>
      <vt:lpstr>FIAA|0325-27</vt:lpstr>
      <vt:lpstr>Data</vt:lpstr>
      <vt:lpstr>Benefits</vt:lpstr>
      <vt:lpstr>B6</vt:lpstr>
      <vt:lpstr>Summary</vt:lpstr>
      <vt:lpstr>FundSummary</vt:lpstr>
      <vt:lpstr>'FIAA|0229-00'!AdjGroupHlth</vt:lpstr>
      <vt:lpstr>'FIAA|0325-27'!AdjGroupHlth</vt:lpstr>
      <vt:lpstr>AdjGroupHlth</vt:lpstr>
      <vt:lpstr>'FIAA|0229-00'!AdjGroupSalary</vt:lpstr>
      <vt:lpstr>'FIAA|0325-27'!AdjGroupSalary</vt:lpstr>
      <vt:lpstr>AdjGroupSalary</vt:lpstr>
      <vt:lpstr>'FIAA|0229-00'!AdjGroupVB</vt:lpstr>
      <vt:lpstr>'FIAA|0325-27'!AdjGroupVB</vt:lpstr>
      <vt:lpstr>AdjGroupVB</vt:lpstr>
      <vt:lpstr>'FIAA|0229-00'!AdjGroupVBBY</vt:lpstr>
      <vt:lpstr>'FIAA|0325-27'!AdjGroupVBBY</vt:lpstr>
      <vt:lpstr>AdjGroupVBBY</vt:lpstr>
      <vt:lpstr>'FIAA|0229-00'!AdjPermHlth</vt:lpstr>
      <vt:lpstr>'FIAA|0325-27'!AdjPermHlth</vt:lpstr>
      <vt:lpstr>AdjPermHlth</vt:lpstr>
      <vt:lpstr>'FIAA|0229-00'!AdjPermHlthBY</vt:lpstr>
      <vt:lpstr>'FIAA|0325-27'!AdjPermHlthBY</vt:lpstr>
      <vt:lpstr>AdjPermHlthBY</vt:lpstr>
      <vt:lpstr>'FIAA|0229-00'!AdjPermSalary</vt:lpstr>
      <vt:lpstr>'FIAA|0325-27'!AdjPermSalary</vt:lpstr>
      <vt:lpstr>AdjPermSalary</vt:lpstr>
      <vt:lpstr>'FIAA|0229-00'!AdjPermVB</vt:lpstr>
      <vt:lpstr>'FIAA|0325-27'!AdjPermVB</vt:lpstr>
      <vt:lpstr>AdjPermVB</vt:lpstr>
      <vt:lpstr>'FIAA|0229-00'!AdjPermVBBY</vt:lpstr>
      <vt:lpstr>'FIAA|0325-27'!AdjPermVBBY</vt:lpstr>
      <vt:lpstr>AdjPermVBBY</vt:lpstr>
      <vt:lpstr>'FIAA|0229-00'!AdjustedTotal</vt:lpstr>
      <vt:lpstr>'FIAA|0325-27'!AdjustedTotal</vt:lpstr>
      <vt:lpstr>AdjustedTotal</vt:lpstr>
      <vt:lpstr>'FIAA|0229-00'!AgencyNum</vt:lpstr>
      <vt:lpstr>'FIAA|0325-27'!AgencyNum</vt:lpstr>
      <vt:lpstr>AgencyNum</vt:lpstr>
      <vt:lpstr>'FIAA|0229-00'!AppropFTP</vt:lpstr>
      <vt:lpstr>'FIAA|0325-27'!AppropFTP</vt:lpstr>
      <vt:lpstr>AppropFTP</vt:lpstr>
      <vt:lpstr>'FIAA|0229-00'!AppropTotal</vt:lpstr>
      <vt:lpstr>'FIAA|0325-27'!AppropTotal</vt:lpstr>
      <vt:lpstr>AppropTotal</vt:lpstr>
      <vt:lpstr>'FIAA|0229-00'!AtZHealth</vt:lpstr>
      <vt:lpstr>'FIAA|0325-27'!AtZHealth</vt:lpstr>
      <vt:lpstr>AtZHealth</vt:lpstr>
      <vt:lpstr>'FIAA|0229-00'!AtZSalary</vt:lpstr>
      <vt:lpstr>'FIAA|0325-27'!AtZSalary</vt:lpstr>
      <vt:lpstr>AtZSalary</vt:lpstr>
      <vt:lpstr>'FIAA|0229-00'!AtZTotal</vt:lpstr>
      <vt:lpstr>'FIAA|0325-27'!AtZTotal</vt:lpstr>
      <vt:lpstr>AtZTotal</vt:lpstr>
      <vt:lpstr>'FIAA|0229-00'!AtZVarBen</vt:lpstr>
      <vt:lpstr>'FIAA|0325-27'!AtZVarBen</vt:lpstr>
      <vt:lpstr>AtZVarBen</vt:lpstr>
      <vt:lpstr>'FIAA|0229-00'!BudgetUnit</vt:lpstr>
      <vt:lpstr>'FIAA|0325-27'!BudgetUnit</vt:lpstr>
      <vt:lpstr>BudgetUnit</vt:lpstr>
      <vt:lpstr>BudgetYear</vt:lpstr>
      <vt:lpstr>CECGroup</vt:lpstr>
      <vt:lpstr>'FIAA|0229-00'!CECOrigElectSalary</vt:lpstr>
      <vt:lpstr>'FIAA|0325-27'!CECOrigElectSalary</vt:lpstr>
      <vt:lpstr>CECOrigElectSalary</vt:lpstr>
      <vt:lpstr>'FIAA|0229-00'!CECOrigElectVB</vt:lpstr>
      <vt:lpstr>'FIAA|0325-27'!CECOrigElectVB</vt:lpstr>
      <vt:lpstr>CECOrigElectVB</vt:lpstr>
      <vt:lpstr>'FIAA|0229-00'!CECOrigGroupSalary</vt:lpstr>
      <vt:lpstr>'FIAA|0325-27'!CECOrigGroupSalary</vt:lpstr>
      <vt:lpstr>CECOrigGroupSalary</vt:lpstr>
      <vt:lpstr>'FIAA|0229-00'!CECOrigGroupVB</vt:lpstr>
      <vt:lpstr>'FIAA|0325-27'!CECOrigGroupVB</vt:lpstr>
      <vt:lpstr>CECOrigGroupVB</vt:lpstr>
      <vt:lpstr>'FIAA|0229-00'!CECOrigPermSalary</vt:lpstr>
      <vt:lpstr>'FIAA|0325-27'!CECOrigPermSalary</vt:lpstr>
      <vt:lpstr>CECOrigPermSalary</vt:lpstr>
      <vt:lpstr>'FIAA|0229-00'!CECOrigPermVB</vt:lpstr>
      <vt:lpstr>'FIAA|0325-27'!CECOrigPermVB</vt:lpstr>
      <vt:lpstr>CECOrigPermVB</vt:lpstr>
      <vt:lpstr>CECPerm</vt:lpstr>
      <vt:lpstr>'FIAA|0229-00'!CECpermCalc</vt:lpstr>
      <vt:lpstr>'FIAA|0325-27'!CECpermCalc</vt:lpstr>
      <vt:lpstr>CECpermCalc</vt:lpstr>
      <vt:lpstr>'FIAA|0229-00'!Department</vt:lpstr>
      <vt:lpstr>'FIAA|0325-27'!Department</vt:lpstr>
      <vt:lpstr>Department</vt:lpstr>
      <vt:lpstr>DHR</vt:lpstr>
      <vt:lpstr>DHRBY</vt:lpstr>
      <vt:lpstr>DHRCHG</vt:lpstr>
      <vt:lpstr>'FIAA|0229-00'!Division</vt:lpstr>
      <vt:lpstr>'FIAA|0325-27'!Division</vt:lpstr>
      <vt:lpstr>Division</vt:lpstr>
      <vt:lpstr>'FIAA|0229-00'!DUCECElect</vt:lpstr>
      <vt:lpstr>'FIAA|0325-27'!DUCECElect</vt:lpstr>
      <vt:lpstr>DUCECElect</vt:lpstr>
      <vt:lpstr>'FIAA|0229-00'!DUCECGroup</vt:lpstr>
      <vt:lpstr>'FIAA|0325-27'!DUCECGroup</vt:lpstr>
      <vt:lpstr>DUCECGroup</vt:lpstr>
      <vt:lpstr>'FIAA|0229-00'!DUCECPerm</vt:lpstr>
      <vt:lpstr>'FIAA|0325-27'!DUCECPerm</vt:lpstr>
      <vt:lpstr>DUCECPerm</vt:lpstr>
      <vt:lpstr>'FIAA|0229-00'!DUEleven</vt:lpstr>
      <vt:lpstr>'FIAA|0325-27'!DUEleven</vt:lpstr>
      <vt:lpstr>DUEleven</vt:lpstr>
      <vt:lpstr>'FIAA|0229-00'!DUHealthBen</vt:lpstr>
      <vt:lpstr>'FIAA|0325-27'!DUHealthBen</vt:lpstr>
      <vt:lpstr>DUHealthBen</vt:lpstr>
      <vt:lpstr>'FIAA|0229-00'!DUNine</vt:lpstr>
      <vt:lpstr>'FIAA|0325-27'!DUNine</vt:lpstr>
      <vt:lpstr>DUNine</vt:lpstr>
      <vt:lpstr>'FIAA|0229-00'!DUThirteen</vt:lpstr>
      <vt:lpstr>'FIAA|0325-27'!DUThirteen</vt:lpstr>
      <vt:lpstr>DUThirteen</vt:lpstr>
      <vt:lpstr>'FIAA|0229-00'!DUVariableBen</vt:lpstr>
      <vt:lpstr>'FIAA|0325-27'!DUVariableBen</vt:lpstr>
      <vt:lpstr>DUVariableBen</vt:lpstr>
      <vt:lpstr>'FIAA|0229-00'!Elect_chg_health</vt:lpstr>
      <vt:lpstr>'FIAA|0325-27'!Elect_chg_health</vt:lpstr>
      <vt:lpstr>Elect_chg_health</vt:lpstr>
      <vt:lpstr>'FIAA|0229-00'!Elect_chg_Var</vt:lpstr>
      <vt:lpstr>'FIAA|0325-27'!Elect_chg_Var</vt:lpstr>
      <vt:lpstr>Elect_chg_Var</vt:lpstr>
      <vt:lpstr>'FIAA|0229-00'!elect_FTP</vt:lpstr>
      <vt:lpstr>'FIAA|0325-27'!elect_FTP</vt:lpstr>
      <vt:lpstr>elect_FTP</vt:lpstr>
      <vt:lpstr>'FIAA|0229-00'!Elect_health</vt:lpstr>
      <vt:lpstr>'FIAA|0325-27'!Elect_health</vt:lpstr>
      <vt:lpstr>Elect_health</vt:lpstr>
      <vt:lpstr>'FIAA|0229-00'!Elect_name</vt:lpstr>
      <vt:lpstr>'FIAA|0325-27'!Elect_name</vt:lpstr>
      <vt:lpstr>Elect_name</vt:lpstr>
      <vt:lpstr>'FIAA|0229-00'!Elect_salary</vt:lpstr>
      <vt:lpstr>'FIAA|0325-27'!Elect_salary</vt:lpstr>
      <vt:lpstr>Elect_salary</vt:lpstr>
      <vt:lpstr>'FIAA|0229-00'!Elect_Var</vt:lpstr>
      <vt:lpstr>'FIAA|0325-27'!Elect_Var</vt:lpstr>
      <vt:lpstr>Elect_Var</vt:lpstr>
      <vt:lpstr>'FIAA|0229-00'!Elect_VarBen</vt:lpstr>
      <vt:lpstr>'FIAA|0325-27'!Elect_VarBen</vt:lpstr>
      <vt:lpstr>Elect_VarBen</vt:lpstr>
      <vt:lpstr>ElectVB</vt:lpstr>
      <vt:lpstr>ElectVBBY</vt:lpstr>
      <vt:lpstr>ElectVBCHG</vt:lpstr>
      <vt:lpstr>FIAA022900col_1_27TH_PP</vt:lpstr>
      <vt:lpstr>FIAA022900col_DHR</vt:lpstr>
      <vt:lpstr>FIAA022900col_DHR_BY</vt:lpstr>
      <vt:lpstr>FIAA022900col_DHR_CHG</vt:lpstr>
      <vt:lpstr>FIAA022900col_FTI_SALARY_ELECT</vt:lpstr>
      <vt:lpstr>FIAA022900col_FTI_SALARY_PERM</vt:lpstr>
      <vt:lpstr>FIAA022900col_FTI_SALARY_SSDI</vt:lpstr>
      <vt:lpstr>FIAA022900col_Group_Ben</vt:lpstr>
      <vt:lpstr>FIAA022900col_Group_Salary</vt:lpstr>
      <vt:lpstr>FIAA022900col_HEALTH_ELECT</vt:lpstr>
      <vt:lpstr>FIAA022900col_HEALTH_ELECT_BY</vt:lpstr>
      <vt:lpstr>FIAA022900col_HEALTH_ELECT_CHG</vt:lpstr>
      <vt:lpstr>FIAA022900col_HEALTH_PERM</vt:lpstr>
      <vt:lpstr>FIAA022900col_HEALTH_PERM_BY</vt:lpstr>
      <vt:lpstr>FIAA022900col_HEALTH_PERM_CHG</vt:lpstr>
      <vt:lpstr>FIAA022900col_INC_FTI</vt:lpstr>
      <vt:lpstr>FIAA022900col_LIFE_INS</vt:lpstr>
      <vt:lpstr>FIAA022900col_LIFE_INS_BY</vt:lpstr>
      <vt:lpstr>FIAA022900col_LIFE_INS_CHG</vt:lpstr>
      <vt:lpstr>FIAA022900col_RETIREMENT</vt:lpstr>
      <vt:lpstr>FIAA022900col_RETIREMENT_BY</vt:lpstr>
      <vt:lpstr>FIAA022900col_RETIREMENT_CHG</vt:lpstr>
      <vt:lpstr>FIAA022900col_ROWS_PER_PCN</vt:lpstr>
      <vt:lpstr>FIAA022900col_SICK</vt:lpstr>
      <vt:lpstr>FIAA022900col_SICK_BY</vt:lpstr>
      <vt:lpstr>FIAA022900col_SICK_CHG</vt:lpstr>
      <vt:lpstr>FIAA022900col_SSDI</vt:lpstr>
      <vt:lpstr>FIAA022900col_SSDI_BY</vt:lpstr>
      <vt:lpstr>FIAA022900col_SSDI_CHG</vt:lpstr>
      <vt:lpstr>FIAA022900col_SSHI</vt:lpstr>
      <vt:lpstr>FIAA022900col_SSHI_BY</vt:lpstr>
      <vt:lpstr>FIAA022900col_SSHI_CHGv</vt:lpstr>
      <vt:lpstr>FIAA022900col_TOT_VB_ELECT</vt:lpstr>
      <vt:lpstr>FIAA022900col_TOT_VB_ELECT_BY</vt:lpstr>
      <vt:lpstr>FIAA022900col_TOT_VB_ELECT_CHG</vt:lpstr>
      <vt:lpstr>FIAA022900col_TOT_VB_PERM</vt:lpstr>
      <vt:lpstr>FIAA022900col_TOT_VB_PERM_BY</vt:lpstr>
      <vt:lpstr>FIAA022900col_TOT_VB_PERM_CHG</vt:lpstr>
      <vt:lpstr>FIAA022900col_TOTAL_ELECT_PCN_FTI</vt:lpstr>
      <vt:lpstr>FIAA022900col_TOTAL_ELECT_PCN_FTI_ALT</vt:lpstr>
      <vt:lpstr>FIAA022900col_TOTAL_PERM_PCN_FTI</vt:lpstr>
      <vt:lpstr>FIAA022900col_UNEMP_INS</vt:lpstr>
      <vt:lpstr>FIAA022900col_UNEMP_INS_BY</vt:lpstr>
      <vt:lpstr>FIAA022900col_UNEMP_INS_CHG</vt:lpstr>
      <vt:lpstr>FIAA022900col_WORKERS_COMP</vt:lpstr>
      <vt:lpstr>FIAA022900col_WORKERS_COMP_BY</vt:lpstr>
      <vt:lpstr>FIAA022900col_WORKERS_COMP_CHG</vt:lpstr>
      <vt:lpstr>FIAA032527col_1_27TH_PP</vt:lpstr>
      <vt:lpstr>FIAA032527col_DHR</vt:lpstr>
      <vt:lpstr>FIAA032527col_DHR_BY</vt:lpstr>
      <vt:lpstr>FIAA032527col_DHR_CHG</vt:lpstr>
      <vt:lpstr>FIAA032527col_FTI_SALARY_ELECT</vt:lpstr>
      <vt:lpstr>FIAA032527col_FTI_SALARY_PERM</vt:lpstr>
      <vt:lpstr>FIAA032527col_FTI_SALARY_SSDI</vt:lpstr>
      <vt:lpstr>FIAA032527col_Group_Ben</vt:lpstr>
      <vt:lpstr>FIAA032527col_Group_Salary</vt:lpstr>
      <vt:lpstr>FIAA032527col_HEALTH_ELECT</vt:lpstr>
      <vt:lpstr>FIAA032527col_HEALTH_ELECT_BY</vt:lpstr>
      <vt:lpstr>FIAA032527col_HEALTH_ELECT_CHG</vt:lpstr>
      <vt:lpstr>FIAA032527col_HEALTH_PERM</vt:lpstr>
      <vt:lpstr>FIAA032527col_HEALTH_PERM_BY</vt:lpstr>
      <vt:lpstr>FIAA032527col_HEALTH_PERM_CHG</vt:lpstr>
      <vt:lpstr>FIAA032527col_INC_FTI</vt:lpstr>
      <vt:lpstr>FIAA032527col_LIFE_INS</vt:lpstr>
      <vt:lpstr>FIAA032527col_LIFE_INS_BY</vt:lpstr>
      <vt:lpstr>FIAA032527col_LIFE_INS_CHG</vt:lpstr>
      <vt:lpstr>FIAA032527col_RETIREMENT</vt:lpstr>
      <vt:lpstr>FIAA032527col_RETIREMENT_BY</vt:lpstr>
      <vt:lpstr>FIAA032527col_RETIREMENT_CHG</vt:lpstr>
      <vt:lpstr>FIAA032527col_ROWS_PER_PCN</vt:lpstr>
      <vt:lpstr>FIAA032527col_SICK</vt:lpstr>
      <vt:lpstr>FIAA032527col_SICK_BY</vt:lpstr>
      <vt:lpstr>FIAA032527col_SICK_CHG</vt:lpstr>
      <vt:lpstr>FIAA032527col_SSDI</vt:lpstr>
      <vt:lpstr>FIAA032527col_SSDI_BY</vt:lpstr>
      <vt:lpstr>FIAA032527col_SSDI_CHG</vt:lpstr>
      <vt:lpstr>FIAA032527col_SSHI</vt:lpstr>
      <vt:lpstr>FIAA032527col_SSHI_BY</vt:lpstr>
      <vt:lpstr>FIAA032527col_SSHI_CHGv</vt:lpstr>
      <vt:lpstr>FIAA032527col_TOT_VB_ELECT</vt:lpstr>
      <vt:lpstr>FIAA032527col_TOT_VB_ELECT_BY</vt:lpstr>
      <vt:lpstr>FIAA032527col_TOT_VB_ELECT_CHG</vt:lpstr>
      <vt:lpstr>FIAA032527col_TOT_VB_PERM</vt:lpstr>
      <vt:lpstr>FIAA032527col_TOT_VB_PERM_BY</vt:lpstr>
      <vt:lpstr>FIAA032527col_TOT_VB_PERM_CHG</vt:lpstr>
      <vt:lpstr>FIAA032527col_TOTAL_ELECT_PCN_FTI</vt:lpstr>
      <vt:lpstr>FIAA032527col_TOTAL_ELECT_PCN_FTI_ALT</vt:lpstr>
      <vt:lpstr>FIAA032527col_TOTAL_PERM_PCN_FTI</vt:lpstr>
      <vt:lpstr>FIAA032527col_UNEMP_INS</vt:lpstr>
      <vt:lpstr>FIAA032527col_UNEMP_INS_BY</vt:lpstr>
      <vt:lpstr>FIAA032527col_UNEMP_INS_CHG</vt:lpstr>
      <vt:lpstr>FIAA032527col_WORKERS_COMP</vt:lpstr>
      <vt:lpstr>FIAA032527col_WORKERS_COMP_BY</vt:lpstr>
      <vt:lpstr>FIAA032527col_WORKERS_COMP_CHG</vt:lpstr>
      <vt:lpstr>FillRate_Avg</vt:lpstr>
      <vt:lpstr>'FIAA|0229-00'!FiscalYear</vt:lpstr>
      <vt:lpstr>'FIAA|0325-27'!FiscalYear</vt:lpstr>
      <vt:lpstr>FiscalYear</vt:lpstr>
      <vt:lpstr>'FIAA|0229-00'!FundName</vt:lpstr>
      <vt:lpstr>'FIAA|0325-27'!FundName</vt:lpstr>
      <vt:lpstr>FundName</vt:lpstr>
      <vt:lpstr>'FIAA|0229-00'!FundNum</vt:lpstr>
      <vt:lpstr>'FIAA|0325-27'!FundNum</vt:lpstr>
      <vt:lpstr>FundNum</vt:lpstr>
      <vt:lpstr>'FIAA|0229-00'!FundNumber</vt:lpstr>
      <vt:lpstr>'FIAA|0325-27'!FundNumber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'FIAA|0229-00'!Group_name</vt:lpstr>
      <vt:lpstr>'FIAA|0325-27'!Group_name</vt:lpstr>
      <vt:lpstr>Group_name</vt:lpstr>
      <vt:lpstr>'FIAA|0229-00'!GroupFxdBen</vt:lpstr>
      <vt:lpstr>'FIAA|0325-27'!GroupFxdBen</vt:lpstr>
      <vt:lpstr>GroupFxdBen</vt:lpstr>
      <vt:lpstr>'FIAA|0229-00'!GroupSalary</vt:lpstr>
      <vt:lpstr>'FIAA|0325-27'!GroupSalary</vt:lpstr>
      <vt:lpstr>GroupSalary</vt:lpstr>
      <vt:lpstr>'FIAA|0229-00'!GroupVarBen</vt:lpstr>
      <vt:lpstr>'FIAA|0325-27'!GroupVarBen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'FIAA|0229-00'!LUMAFund</vt:lpstr>
      <vt:lpstr>'FIAA|0325-27'!LUMAFund</vt:lpstr>
      <vt:lpstr>LUMAFund</vt:lpstr>
      <vt:lpstr>MAXSSDI</vt:lpstr>
      <vt:lpstr>MAXSSDIBY</vt:lpstr>
      <vt:lpstr>'FIAA|0229-00'!NEW_AdjGroup</vt:lpstr>
      <vt:lpstr>'FIAA|0325-27'!NEW_AdjGroup</vt:lpstr>
      <vt:lpstr>NEW_AdjGroup</vt:lpstr>
      <vt:lpstr>'FIAA|0229-00'!NEW_AdjGroupSalary</vt:lpstr>
      <vt:lpstr>'FIAA|0325-27'!NEW_AdjGroupSalary</vt:lpstr>
      <vt:lpstr>NEW_AdjGroupSalary</vt:lpstr>
      <vt:lpstr>'FIAA|0229-00'!NEW_AdjGroupVB</vt:lpstr>
      <vt:lpstr>'FIAA|0325-27'!NEW_AdjGroupVB</vt:lpstr>
      <vt:lpstr>NEW_AdjGroupVB</vt:lpstr>
      <vt:lpstr>'FIAA|0229-00'!NEW_AdjONLYGroup</vt:lpstr>
      <vt:lpstr>'FIAA|0325-27'!NEW_AdjONLYGroup</vt:lpstr>
      <vt:lpstr>NEW_AdjONLYGroup</vt:lpstr>
      <vt:lpstr>'FIAA|0229-00'!NEW_AdjONLYGroupSalary</vt:lpstr>
      <vt:lpstr>'FIAA|0325-27'!NEW_AdjONLYGroupSalary</vt:lpstr>
      <vt:lpstr>NEW_AdjONLYGroupSalary</vt:lpstr>
      <vt:lpstr>'FIAA|0229-00'!NEW_AdjONLYGroupVB</vt:lpstr>
      <vt:lpstr>'FIAA|0325-27'!NEW_AdjONLYGroupVB</vt:lpstr>
      <vt:lpstr>NEW_AdjONLYGroupVB</vt:lpstr>
      <vt:lpstr>'FIAA|0229-00'!NEW_AdjONLYPerm</vt:lpstr>
      <vt:lpstr>'FIAA|0325-27'!NEW_AdjONLYPerm</vt:lpstr>
      <vt:lpstr>NEW_AdjONLYPerm</vt:lpstr>
      <vt:lpstr>'FIAA|0229-00'!NEW_AdjONLYPermSalary</vt:lpstr>
      <vt:lpstr>'FIAA|0325-27'!NEW_AdjONLYPermSalary</vt:lpstr>
      <vt:lpstr>NEW_AdjONLYPermSalary</vt:lpstr>
      <vt:lpstr>'FIAA|0229-00'!NEW_AdjONLYPermVB</vt:lpstr>
      <vt:lpstr>'FIAA|0325-27'!NEW_AdjONLYPermVB</vt:lpstr>
      <vt:lpstr>NEW_AdjONLYPermVB</vt:lpstr>
      <vt:lpstr>'FIAA|0229-00'!NEW_AdjPerm</vt:lpstr>
      <vt:lpstr>'FIAA|0325-27'!NEW_AdjPerm</vt:lpstr>
      <vt:lpstr>NEW_AdjPerm</vt:lpstr>
      <vt:lpstr>'FIAA|0229-00'!NEW_AdjPermSalary</vt:lpstr>
      <vt:lpstr>'FIAA|0325-27'!NEW_AdjPermSalary</vt:lpstr>
      <vt:lpstr>NEW_AdjPermSalary</vt:lpstr>
      <vt:lpstr>'FIAA|0229-00'!NEW_AdjPermVB</vt:lpstr>
      <vt:lpstr>'FIAA|0325-27'!NEW_AdjPermVB</vt:lpstr>
      <vt:lpstr>NEW_AdjPermVB</vt:lpstr>
      <vt:lpstr>'FIAA|0229-00'!NEW_GroupFilled</vt:lpstr>
      <vt:lpstr>'FIAA|0325-27'!NEW_GroupFilled</vt:lpstr>
      <vt:lpstr>NEW_GroupFilled</vt:lpstr>
      <vt:lpstr>'FIAA|0229-00'!NEW_GroupSalaryFilled</vt:lpstr>
      <vt:lpstr>'FIAA|0325-27'!NEW_GroupSalaryFilled</vt:lpstr>
      <vt:lpstr>NEW_GroupSalaryFilled</vt:lpstr>
      <vt:lpstr>'FIAA|0229-00'!NEW_GroupVBFilled</vt:lpstr>
      <vt:lpstr>'FIAA|0325-27'!NEW_GroupVBFilled</vt:lpstr>
      <vt:lpstr>NEW_GroupVBFilled</vt:lpstr>
      <vt:lpstr>'FIAA|0229-00'!NEW_PermFilled</vt:lpstr>
      <vt:lpstr>'FIAA|0325-27'!NEW_PermFilled</vt:lpstr>
      <vt:lpstr>NEW_PermFilled</vt:lpstr>
      <vt:lpstr>'FIAA|0229-00'!NEW_PermSalaryFilled</vt:lpstr>
      <vt:lpstr>'FIAA|0325-27'!NEW_PermSalaryFilled</vt:lpstr>
      <vt:lpstr>NEW_PermSalaryFilled</vt:lpstr>
      <vt:lpstr>'FIAA|0229-00'!NEW_PermVBFilled</vt:lpstr>
      <vt:lpstr>'FIAA|0325-27'!NEW_PermVBFilled</vt:lpstr>
      <vt:lpstr>NEW_PermVBFilled</vt:lpstr>
      <vt:lpstr>'FIAA|0229-00'!OneTimePC_Total</vt:lpstr>
      <vt:lpstr>'FIAA|0325-27'!OneTimePC_Total</vt:lpstr>
      <vt:lpstr>OneTimePC_Total</vt:lpstr>
      <vt:lpstr>'FIAA|0229-00'!OrigApprop</vt:lpstr>
      <vt:lpstr>'FIAA|0325-27'!OrigApprop</vt:lpstr>
      <vt:lpstr>OrigApprop</vt:lpstr>
      <vt:lpstr>'FIAA|0229-00'!perm_name</vt:lpstr>
      <vt:lpstr>'FIAA|0325-27'!perm_name</vt:lpstr>
      <vt:lpstr>perm_name</vt:lpstr>
      <vt:lpstr>'FIAA|0229-00'!PermFTP</vt:lpstr>
      <vt:lpstr>'FIAA|0325-27'!PermFTP</vt:lpstr>
      <vt:lpstr>PermFTP</vt:lpstr>
      <vt:lpstr>'FIAA|0229-00'!PermFxdBen</vt:lpstr>
      <vt:lpstr>'FIAA|0325-27'!PermFxdBen</vt:lpstr>
      <vt:lpstr>PermFxdBen</vt:lpstr>
      <vt:lpstr>'FIAA|0229-00'!PermFxdBenChg</vt:lpstr>
      <vt:lpstr>'FIAA|0325-27'!PermFxdBenChg</vt:lpstr>
      <vt:lpstr>PermFxdBenChg</vt:lpstr>
      <vt:lpstr>'FIAA|0229-00'!PermFxdChg</vt:lpstr>
      <vt:lpstr>'FIAA|0325-27'!PermFxdChg</vt:lpstr>
      <vt:lpstr>PermFxdChg</vt:lpstr>
      <vt:lpstr>'FIAA|0229-00'!PermSalary</vt:lpstr>
      <vt:lpstr>'FIAA|0325-27'!PermSalary</vt:lpstr>
      <vt:lpstr>PermSalary</vt:lpstr>
      <vt:lpstr>'FIAA|0229-00'!PermVarBen</vt:lpstr>
      <vt:lpstr>'FIAA|0325-27'!PermVarBen</vt:lpstr>
      <vt:lpstr>PermVarBen</vt:lpstr>
      <vt:lpstr>'FIAA|0229-00'!PermVarBenChg</vt:lpstr>
      <vt:lpstr>'FIAA|0325-27'!PermVarBenChg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'FIAA|0229-00'!Print_Area</vt:lpstr>
      <vt:lpstr>'FIAA|0325-27'!Print_Area</vt:lpstr>
      <vt:lpstr>'FIAA|0229-00'!Prog_Unadjusted_Total</vt:lpstr>
      <vt:lpstr>'FIAA|0325-27'!Prog_Unadjusted_Total</vt:lpstr>
      <vt:lpstr>Prog_Unadjusted_Total</vt:lpstr>
      <vt:lpstr>'FIAA|0229-00'!Program</vt:lpstr>
      <vt:lpstr>'FIAA|0325-27'!Program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'FIAA|0229-00'!RoundedAppropSalary</vt:lpstr>
      <vt:lpstr>'FIAA|0325-27'!RoundedAppropSalary</vt:lpstr>
      <vt:lpstr>RoundedAppropSalary</vt:lpstr>
      <vt:lpstr>'FIAA|0229-00'!SalaryChg</vt:lpstr>
      <vt:lpstr>'FIAA|0325-27'!SalaryChg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260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