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E584156C-A1C9-4D95-A80C-B9C888762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BA|0349-00" sheetId="12" r:id="rId1"/>
    <sheet name="LABB|0482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'LABA|0349-00'!$H$39</definedName>
    <definedName name="AdjGroupHlth" localSheetId="1">'LABB|0482-00'!$H$39</definedName>
    <definedName name="AdjGroupHlth">'B6'!$H$39</definedName>
    <definedName name="AdjGroupSalary" localSheetId="0">'LABA|0349-00'!$G$39</definedName>
    <definedName name="AdjGroupSalary" localSheetId="1">'LABB|0482-00'!$G$39</definedName>
    <definedName name="AdjGroupSalary">'B6'!$G$39</definedName>
    <definedName name="AdjGroupVB" localSheetId="0">'LABA|0349-00'!$I$39</definedName>
    <definedName name="AdjGroupVB" localSheetId="1">'LABB|0482-00'!$I$39</definedName>
    <definedName name="AdjGroupVB">'B6'!$I$39</definedName>
    <definedName name="AdjGroupVBBY" localSheetId="0">'LABA|0349-00'!$M$39</definedName>
    <definedName name="AdjGroupVBBY" localSheetId="1">'LABB|0482-00'!$M$39</definedName>
    <definedName name="AdjGroupVBBY">'B6'!$M$39</definedName>
    <definedName name="AdjPermHlth" localSheetId="0">'LABA|0349-00'!$H$38</definedName>
    <definedName name="AdjPermHlth" localSheetId="1">'LABB|0482-00'!$H$38</definedName>
    <definedName name="AdjPermHlth">'B6'!$H$38</definedName>
    <definedName name="AdjPermHlthBY" localSheetId="0">'LABA|0349-00'!$L$38</definedName>
    <definedName name="AdjPermHlthBY" localSheetId="1">'LABB|0482-00'!$L$38</definedName>
    <definedName name="AdjPermHlthBY">'B6'!$L$38</definedName>
    <definedName name="AdjPermSalary" localSheetId="0">'LABA|0349-00'!$G$38</definedName>
    <definedName name="AdjPermSalary" localSheetId="1">'LABB|0482-00'!$G$38</definedName>
    <definedName name="AdjPermSalary">'B6'!$G$38</definedName>
    <definedName name="AdjPermVB" localSheetId="0">'LABA|0349-00'!$I$38</definedName>
    <definedName name="AdjPermVB" localSheetId="1">'LABB|0482-00'!$I$38</definedName>
    <definedName name="AdjPermVB">'B6'!$I$38</definedName>
    <definedName name="AdjPermVBBY" localSheetId="0">'LABA|0349-00'!$M$38</definedName>
    <definedName name="AdjPermVBBY" localSheetId="1">'LABB|0482-00'!$M$38</definedName>
    <definedName name="AdjPermVBBY">'B6'!$M$38</definedName>
    <definedName name="AdjustedTotal" localSheetId="0">'LABA|0349-00'!$J$16</definedName>
    <definedName name="AdjustedTotal" localSheetId="1">'LABB|0482-00'!$J$16</definedName>
    <definedName name="AdjustedTotal">'B6'!$J$16</definedName>
    <definedName name="AgencyNum" localSheetId="0">'LABA|0349-00'!$M$1</definedName>
    <definedName name="AgencyNum" localSheetId="1">'LABB|0482-00'!$M$1</definedName>
    <definedName name="AgencyNum">'B6'!$M$1</definedName>
    <definedName name="AppropFTP" localSheetId="0">'LABA|0349-00'!$F$15</definedName>
    <definedName name="AppropFTP" localSheetId="1">'LABB|0482-00'!$F$15</definedName>
    <definedName name="AppropFTP">'B6'!$F$15</definedName>
    <definedName name="AppropTotal" localSheetId="0">'LABA|0349-00'!$J$15</definedName>
    <definedName name="AppropTotal" localSheetId="1">'LABB|0482-00'!$J$15</definedName>
    <definedName name="AppropTotal">'B6'!$J$15</definedName>
    <definedName name="AtZHealth" localSheetId="0">'LABA|0349-00'!$H$45</definedName>
    <definedName name="AtZHealth" localSheetId="1">'LABB|0482-00'!$H$45</definedName>
    <definedName name="AtZHealth">'B6'!$H$45</definedName>
    <definedName name="AtZSalary" localSheetId="0">'LABA|0349-00'!$G$45</definedName>
    <definedName name="AtZSalary" localSheetId="1">'LABB|0482-00'!$G$45</definedName>
    <definedName name="AtZSalary">'B6'!$G$45</definedName>
    <definedName name="AtZTotal" localSheetId="0">'LABA|0349-00'!$J$45</definedName>
    <definedName name="AtZTotal" localSheetId="1">'LABB|0482-00'!$J$45</definedName>
    <definedName name="AtZTotal">'B6'!$J$45</definedName>
    <definedName name="AtZVarBen" localSheetId="0">'LABA|0349-00'!$I$45</definedName>
    <definedName name="AtZVarBen" localSheetId="1">'LABB|0482-00'!$I$45</definedName>
    <definedName name="AtZVarBen">'B6'!$I$45</definedName>
    <definedName name="BudgetUnit" localSheetId="0">'LABA|0349-00'!$M$3</definedName>
    <definedName name="BudgetUnit" localSheetId="1">'LABB|0482-00'!$M$3</definedName>
    <definedName name="BudgetUnit">'B6'!$M$3</definedName>
    <definedName name="BudgetYear">Benefits!$D$4</definedName>
    <definedName name="CECGroup">Benefits!$C$39</definedName>
    <definedName name="CECOrigElectSalary" localSheetId="0">'LABA|0349-00'!$G$74</definedName>
    <definedName name="CECOrigElectSalary" localSheetId="1">'LABB|0482-00'!$G$74</definedName>
    <definedName name="CECOrigElectSalary">'B6'!$G$74</definedName>
    <definedName name="CECOrigElectVB" localSheetId="0">'LABA|0349-00'!$I$74</definedName>
    <definedName name="CECOrigElectVB" localSheetId="1">'LABB|0482-00'!$I$74</definedName>
    <definedName name="CECOrigElectVB">'B6'!$I$74</definedName>
    <definedName name="CECOrigGroupSalary" localSheetId="0">'LABA|0349-00'!$G$73</definedName>
    <definedName name="CECOrigGroupSalary" localSheetId="1">'LABB|0482-00'!$G$73</definedName>
    <definedName name="CECOrigGroupSalary">'B6'!$G$73</definedName>
    <definedName name="CECOrigGroupVB" localSheetId="0">'LABA|0349-00'!$I$73</definedName>
    <definedName name="CECOrigGroupVB" localSheetId="1">'LABB|0482-00'!$I$73</definedName>
    <definedName name="CECOrigGroupVB">'B6'!$I$73</definedName>
    <definedName name="CECOrigPermSalary" localSheetId="0">'LABA|0349-00'!$G$72</definedName>
    <definedName name="CECOrigPermSalary" localSheetId="1">'LABB|0482-00'!$G$72</definedName>
    <definedName name="CECOrigPermSalary">'B6'!$G$72</definedName>
    <definedName name="CECOrigPermVB" localSheetId="0">'LABA|0349-00'!$I$72</definedName>
    <definedName name="CECOrigPermVB" localSheetId="1">'LABB|0482-00'!$I$72</definedName>
    <definedName name="CECOrigPermVB">'B6'!$I$72</definedName>
    <definedName name="CECPerm">Benefits!$C$38</definedName>
    <definedName name="CECpermCalc" localSheetId="0">'LABA|0349-00'!$E$72</definedName>
    <definedName name="CECpermCalc" localSheetId="1">'LABB|0482-00'!$E$72</definedName>
    <definedName name="CECpermCalc">'B6'!$E$72</definedName>
    <definedName name="Department" localSheetId="0">'LABA|0349-00'!$D$1</definedName>
    <definedName name="Department" localSheetId="1">'LABB|0482-00'!$D$1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'LABA|0349-00'!$D$2</definedName>
    <definedName name="Division" localSheetId="1">'LABB|0482-00'!$D$2</definedName>
    <definedName name="Division">'B6'!$D$2</definedName>
    <definedName name="DUCECElect" localSheetId="0">'LABA|0349-00'!$J$74</definedName>
    <definedName name="DUCECElect" localSheetId="1">'LABB|0482-00'!$J$74</definedName>
    <definedName name="DUCECElect">'B6'!$J$74</definedName>
    <definedName name="DUCECGroup" localSheetId="0">'LABA|0349-00'!$J$73</definedName>
    <definedName name="DUCECGroup" localSheetId="1">'LABB|0482-00'!$J$73</definedName>
    <definedName name="DUCECGroup">'B6'!$J$73</definedName>
    <definedName name="DUCECPerm" localSheetId="0">'LABA|0349-00'!$J$72</definedName>
    <definedName name="DUCECPerm" localSheetId="1">'LABB|0482-00'!$J$72</definedName>
    <definedName name="DUCECPerm">'B6'!$J$72</definedName>
    <definedName name="DUEleven" localSheetId="0">'LABA|0349-00'!$J$75</definedName>
    <definedName name="DUEleven" localSheetId="1">'LABB|0482-00'!$J$75</definedName>
    <definedName name="DUEleven">'B6'!$J$75</definedName>
    <definedName name="DUHealthBen" localSheetId="0">'LABA|0349-00'!$J$68</definedName>
    <definedName name="DUHealthBen" localSheetId="1">'LABB|0482-00'!$J$68</definedName>
    <definedName name="DUHealthBen">'B6'!$J$68</definedName>
    <definedName name="DUNine" localSheetId="0">'LABA|0349-00'!$J$67</definedName>
    <definedName name="DUNine" localSheetId="1">'LABB|0482-00'!$J$67</definedName>
    <definedName name="DUNine">'B6'!$J$67</definedName>
    <definedName name="DUThirteen" localSheetId="0">'LABA|0349-00'!$J$80</definedName>
    <definedName name="DUThirteen" localSheetId="1">'LABB|0482-00'!$J$80</definedName>
    <definedName name="DUThirteen">'B6'!$J$80</definedName>
    <definedName name="DUVariableBen" localSheetId="0">'LABA|0349-00'!$J$69</definedName>
    <definedName name="DUVariableBen" localSheetId="1">'LABB|0482-00'!$J$69</definedName>
    <definedName name="DUVariableBen">'B6'!$J$69</definedName>
    <definedName name="Elect_chg_health" localSheetId="0">'LABA|0349-00'!$L$12</definedName>
    <definedName name="Elect_chg_health" localSheetId="1">'LABB|0482-00'!$L$12</definedName>
    <definedName name="Elect_chg_health">'B6'!$L$12</definedName>
    <definedName name="Elect_chg_Var" localSheetId="0">'LABA|0349-00'!$M$12</definedName>
    <definedName name="Elect_chg_Var" localSheetId="1">'LABB|0482-00'!$M$12</definedName>
    <definedName name="Elect_chg_Var">'B6'!$M$12</definedName>
    <definedName name="elect_FTP" localSheetId="0">'LABA|0349-00'!$F$12</definedName>
    <definedName name="elect_FTP" localSheetId="1">'LABB|0482-00'!$F$12</definedName>
    <definedName name="elect_FTP">'B6'!$F$12</definedName>
    <definedName name="Elect_health" localSheetId="0">'LABA|0349-00'!$H$12</definedName>
    <definedName name="Elect_health" localSheetId="1">'LABB|0482-00'!$H$12</definedName>
    <definedName name="Elect_health">'B6'!$H$12</definedName>
    <definedName name="Elect_name" localSheetId="0">'LABA|0349-00'!$C$12</definedName>
    <definedName name="Elect_name" localSheetId="1">'LABB|0482-00'!$C$12</definedName>
    <definedName name="Elect_name">'B6'!$C$12</definedName>
    <definedName name="Elect_salary" localSheetId="0">'LABA|0349-00'!$G$12</definedName>
    <definedName name="Elect_salary" localSheetId="1">'LABB|0482-00'!$G$12</definedName>
    <definedName name="Elect_salary">'B6'!$G$12</definedName>
    <definedName name="Elect_Var" localSheetId="0">'LABA|0349-00'!$I$12</definedName>
    <definedName name="Elect_Var" localSheetId="1">'LABB|0482-00'!$I$12</definedName>
    <definedName name="Elect_Var">'B6'!$I$12</definedName>
    <definedName name="Elect_VarBen" localSheetId="0">'LABA|0349-00'!$I$12</definedName>
    <definedName name="Elect_VarBen" localSheetId="1">'LABB|0482-00'!$I$12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'LABA|0349-00'!#REF!</definedName>
    <definedName name="FillRateAvg_B6" localSheetId="1">'LABB|0482-00'!#REF!</definedName>
    <definedName name="FillRateAvg_B6">'B6'!#REF!</definedName>
    <definedName name="FiscalYear" localSheetId="0">'LABA|0349-00'!$M$4</definedName>
    <definedName name="FiscalYear" localSheetId="1">'LABB|0482-00'!$M$4</definedName>
    <definedName name="FiscalYear">'B6'!$M$4</definedName>
    <definedName name="FundName" localSheetId="0">'LABA|0349-00'!$I$5</definedName>
    <definedName name="FundName" localSheetId="1">'LABB|0482-00'!$I$5</definedName>
    <definedName name="FundName">'B6'!$I$5</definedName>
    <definedName name="FundNum" localSheetId="0">'LABA|0349-00'!$N$5</definedName>
    <definedName name="FundNum" localSheetId="1">'LABB|0482-00'!$N$5</definedName>
    <definedName name="FundNum">'B6'!$N$5</definedName>
    <definedName name="FundNumber" localSheetId="0">'LABA|0349-00'!$N$5</definedName>
    <definedName name="FundNumber" localSheetId="1">'LABB|0482-00'!$N$5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'LABA|0349-00'!$C$11</definedName>
    <definedName name="Group_name" localSheetId="1">'LABB|0482-00'!$C$11</definedName>
    <definedName name="Group_name">'B6'!$C$11</definedName>
    <definedName name="GroupFxdBen" localSheetId="0">'LABA|0349-00'!$H$11</definedName>
    <definedName name="GroupFxdBen" localSheetId="1">'LABB|0482-00'!$H$11</definedName>
    <definedName name="GroupFxdBen">'B6'!$H$11</definedName>
    <definedName name="GroupSalary" localSheetId="0">'LABA|0349-00'!$G$11</definedName>
    <definedName name="GroupSalary" localSheetId="1">'LABB|0482-00'!$G$11</definedName>
    <definedName name="GroupSalary">'B6'!$G$11</definedName>
    <definedName name="GroupVarBen" localSheetId="0">'LABA|0349-00'!$I$11</definedName>
    <definedName name="GroupVarBen" localSheetId="1">'LABB|0482-00'!$I$11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ABA034900col_1_27TH_PP">Data!$BA$16</definedName>
    <definedName name="LABA034900col_DHR">Data!$BI$16</definedName>
    <definedName name="LABA034900col_DHR_BY">Data!$BU$16</definedName>
    <definedName name="LABA034900col_DHR_CHG">Data!$CG$16</definedName>
    <definedName name="LABA034900col_FTI_SALARY_ELECT">Data!$AZ$16</definedName>
    <definedName name="LABA034900col_FTI_SALARY_PERM">Data!$AY$16</definedName>
    <definedName name="LABA034900col_FTI_SALARY_SSDI">Data!$AX$16</definedName>
    <definedName name="LABA034900col_Group_Ben">Data!$CM$16</definedName>
    <definedName name="LABA034900col_Group_Salary">Data!$CL$16</definedName>
    <definedName name="LABA034900col_HEALTH_ELECT">Data!$BC$16</definedName>
    <definedName name="LABA034900col_HEALTH_ELECT_BY">Data!$BO$16</definedName>
    <definedName name="LABA034900col_HEALTH_ELECT_CHG">Data!$CA$16</definedName>
    <definedName name="LABA034900col_HEALTH_PERM">Data!$BB$16</definedName>
    <definedName name="LABA034900col_HEALTH_PERM_BY">Data!$BN$16</definedName>
    <definedName name="LABA034900col_HEALTH_PERM_CHG">Data!$BZ$16</definedName>
    <definedName name="LABA034900col_INC_FTI">Data!$AS$16</definedName>
    <definedName name="LABA034900col_LIFE_INS">Data!$BG$16</definedName>
    <definedName name="LABA034900col_LIFE_INS_BY">Data!$BS$16</definedName>
    <definedName name="LABA034900col_LIFE_INS_CHG">Data!$CE$16</definedName>
    <definedName name="LABA034900col_RETIREMENT">Data!$BF$16</definedName>
    <definedName name="LABA034900col_RETIREMENT_BY">Data!$BR$16</definedName>
    <definedName name="LABA034900col_RETIREMENT_CHG">Data!$CD$16</definedName>
    <definedName name="LABA034900col_ROWS_PER_PCN">Data!$AW$16</definedName>
    <definedName name="LABA034900col_SICK">Data!$BK$16</definedName>
    <definedName name="LABA034900col_SICK_BY">Data!$BW$16</definedName>
    <definedName name="LABA034900col_SICK_CHG">Data!$CI$16</definedName>
    <definedName name="LABA034900col_SSDI">Data!$BD$16</definedName>
    <definedName name="LABA034900col_SSDI_BY">Data!$BP$16</definedName>
    <definedName name="LABA034900col_SSDI_CHG">Data!$CB$16</definedName>
    <definedName name="LABA034900col_SSHI">Data!$BE$16</definedName>
    <definedName name="LABA034900col_SSHI_BY">Data!$BQ$16</definedName>
    <definedName name="LABA034900col_SSHI_CHGv">Data!$CC$16</definedName>
    <definedName name="LABA034900col_TOT_VB_ELECT">Data!$BM$16</definedName>
    <definedName name="LABA034900col_TOT_VB_ELECT_BY">Data!$BY$16</definedName>
    <definedName name="LABA034900col_TOT_VB_ELECT_CHG">Data!$CK$16</definedName>
    <definedName name="LABA034900col_TOT_VB_PERM">Data!$BL$16</definedName>
    <definedName name="LABA034900col_TOT_VB_PERM_BY">Data!$BX$16</definedName>
    <definedName name="LABA034900col_TOT_VB_PERM_CHG">Data!$CJ$16</definedName>
    <definedName name="LABA034900col_TOTAL_ELECT_PCN_FTI">Data!$AT$16</definedName>
    <definedName name="LABA034900col_TOTAL_ELECT_PCN_FTI_ALT">Data!$AV$16</definedName>
    <definedName name="LABA034900col_TOTAL_PERM_PCN_FTI">Data!$AU$16</definedName>
    <definedName name="LABA034900col_UNEMP_INS">Data!$BH$16</definedName>
    <definedName name="LABA034900col_UNEMP_INS_BY">Data!$BT$16</definedName>
    <definedName name="LABA034900col_UNEMP_INS_CHG">Data!$CF$16</definedName>
    <definedName name="LABA034900col_WORKERS_COMP">Data!$BJ$16</definedName>
    <definedName name="LABA034900col_WORKERS_COMP_BY">Data!$BV$16</definedName>
    <definedName name="LABA034900col_WORKERS_COMP_CHG">Data!$CH$16</definedName>
    <definedName name="LABA048270col_1_27TH_PP">Data!$BA$18</definedName>
    <definedName name="LABA048270col_DHR">Data!$BI$18</definedName>
    <definedName name="LABA048270col_DHR_BY">Data!$BU$18</definedName>
    <definedName name="LABA048270col_DHR_CHG">Data!$CG$18</definedName>
    <definedName name="LABA048270col_FTI_SALARY_ELECT">Data!$AZ$18</definedName>
    <definedName name="LABA048270col_FTI_SALARY_PERM">Data!$AY$18</definedName>
    <definedName name="LABA048270col_FTI_SALARY_SSDI">Data!$AX$18</definedName>
    <definedName name="LABA048270col_Group_Ben">Data!$CM$18</definedName>
    <definedName name="LABA048270col_Group_Salary">Data!$CL$18</definedName>
    <definedName name="LABA048270col_HEALTH_ELECT">Data!$BC$18</definedName>
    <definedName name="LABA048270col_HEALTH_ELECT_BY">Data!$BO$18</definedName>
    <definedName name="LABA048270col_HEALTH_ELECT_CHG">Data!$CA$18</definedName>
    <definedName name="LABA048270col_HEALTH_PERM">Data!$BB$18</definedName>
    <definedName name="LABA048270col_HEALTH_PERM_BY">Data!$BN$18</definedName>
    <definedName name="LABA048270col_HEALTH_PERM_CHG">Data!$BZ$18</definedName>
    <definedName name="LABA048270col_INC_FTI">Data!$AS$18</definedName>
    <definedName name="LABA048270col_LIFE_INS">Data!$BG$18</definedName>
    <definedName name="LABA048270col_LIFE_INS_BY">Data!$BS$18</definedName>
    <definedName name="LABA048270col_LIFE_INS_CHG">Data!$CE$18</definedName>
    <definedName name="LABA048270col_RETIREMENT">Data!$BF$18</definedName>
    <definedName name="LABA048270col_RETIREMENT_BY">Data!$BR$18</definedName>
    <definedName name="LABA048270col_RETIREMENT_CHG">Data!$CD$18</definedName>
    <definedName name="LABA048270col_ROWS_PER_PCN">Data!$AW$18</definedName>
    <definedName name="LABA048270col_SICK">Data!$BK$18</definedName>
    <definedName name="LABA048270col_SICK_BY">Data!$BW$18</definedName>
    <definedName name="LABA048270col_SICK_CHG">Data!$CI$18</definedName>
    <definedName name="LABA048270col_SSDI">Data!$BD$18</definedName>
    <definedName name="LABA048270col_SSDI_BY">Data!$BP$18</definedName>
    <definedName name="LABA048270col_SSDI_CHG">Data!$CB$18</definedName>
    <definedName name="LABA048270col_SSHI">Data!$BE$18</definedName>
    <definedName name="LABA048270col_SSHI_BY">Data!$BQ$18</definedName>
    <definedName name="LABA048270col_SSHI_CHGv">Data!$CC$18</definedName>
    <definedName name="LABA048270col_TOT_VB_ELECT">Data!$BM$18</definedName>
    <definedName name="LABA048270col_TOT_VB_ELECT_BY">Data!$BY$18</definedName>
    <definedName name="LABA048270col_TOT_VB_ELECT_CHG">Data!$CK$18</definedName>
    <definedName name="LABA048270col_TOT_VB_PERM">Data!$BL$18</definedName>
    <definedName name="LABA048270col_TOT_VB_PERM_BY">Data!$BX$18</definedName>
    <definedName name="LABA048270col_TOT_VB_PERM_CHG">Data!$CJ$18</definedName>
    <definedName name="LABA048270col_TOTAL_ELECT_PCN_FTI">Data!$AT$18</definedName>
    <definedName name="LABA048270col_TOTAL_ELECT_PCN_FTI_ALT">Data!$AV$18</definedName>
    <definedName name="LABA048270col_TOTAL_PERM_PCN_FTI">Data!$AU$18</definedName>
    <definedName name="LABA048270col_UNEMP_INS">Data!$BH$18</definedName>
    <definedName name="LABA048270col_UNEMP_INS_BY">Data!$BT$18</definedName>
    <definedName name="LABA048270col_UNEMP_INS_CHG">Data!$CF$18</definedName>
    <definedName name="LABA048270col_WORKERS_COMP">Data!$BJ$18</definedName>
    <definedName name="LABA048270col_WORKERS_COMP_BY">Data!$BV$18</definedName>
    <definedName name="LABA048270col_WORKERS_COMP_CHG">Data!$CH$18</definedName>
    <definedName name="LABB034900col_1_27TH_PP">Data!#REF!</definedName>
    <definedName name="LABB034900col_DHR">Data!#REF!</definedName>
    <definedName name="LABB034900col_DHR_BY">Data!#REF!</definedName>
    <definedName name="LABB034900col_DHR_CHG">Data!#REF!</definedName>
    <definedName name="LABB034900col_FTI_SALARY_ELECT">Data!#REF!</definedName>
    <definedName name="LABB034900col_FTI_SALARY_PERM">Data!#REF!</definedName>
    <definedName name="LABB034900col_FTI_SALARY_SSDI">Data!#REF!</definedName>
    <definedName name="LABB034900col_Group_Ben">Data!#REF!</definedName>
    <definedName name="LABB034900col_Group_Salary">Data!#REF!</definedName>
    <definedName name="LABB034900col_HEALTH_ELECT">Data!#REF!</definedName>
    <definedName name="LABB034900col_HEALTH_ELECT_BY">Data!#REF!</definedName>
    <definedName name="LABB034900col_HEALTH_ELECT_CHG">Data!#REF!</definedName>
    <definedName name="LABB034900col_HEALTH_PERM">Data!#REF!</definedName>
    <definedName name="LABB034900col_HEALTH_PERM_BY">Data!#REF!</definedName>
    <definedName name="LABB034900col_HEALTH_PERM_CHG">Data!#REF!</definedName>
    <definedName name="LABB034900col_INC_FTI">Data!#REF!</definedName>
    <definedName name="LABB034900col_LIFE_INS">Data!#REF!</definedName>
    <definedName name="LABB034900col_LIFE_INS_BY">Data!#REF!</definedName>
    <definedName name="LABB034900col_LIFE_INS_CHG">Data!#REF!</definedName>
    <definedName name="LABB034900col_RETIREMENT">Data!#REF!</definedName>
    <definedName name="LABB034900col_RETIREMENT_BY">Data!#REF!</definedName>
    <definedName name="LABB034900col_RETIREMENT_CHG">Data!#REF!</definedName>
    <definedName name="LABB034900col_ROWS_PER_PCN">Data!#REF!</definedName>
    <definedName name="LABB034900col_SICK">Data!#REF!</definedName>
    <definedName name="LABB034900col_SICK_BY">Data!#REF!</definedName>
    <definedName name="LABB034900col_SICK_CHG">Data!#REF!</definedName>
    <definedName name="LABB034900col_SSDI">Data!#REF!</definedName>
    <definedName name="LABB034900col_SSDI_BY">Data!#REF!</definedName>
    <definedName name="LABB034900col_SSDI_CHG">Data!#REF!</definedName>
    <definedName name="LABB034900col_SSHI">Data!#REF!</definedName>
    <definedName name="LABB034900col_SSHI_BY">Data!#REF!</definedName>
    <definedName name="LABB034900col_SSHI_CHGv">Data!#REF!</definedName>
    <definedName name="LABB034900col_TOT_VB_ELECT">Data!#REF!</definedName>
    <definedName name="LABB034900col_TOT_VB_ELECT_BY">Data!#REF!</definedName>
    <definedName name="LABB034900col_TOT_VB_ELECT_CHG">Data!#REF!</definedName>
    <definedName name="LABB034900col_TOT_VB_PERM">Data!#REF!</definedName>
    <definedName name="LABB034900col_TOT_VB_PERM_BY">Data!#REF!</definedName>
    <definedName name="LABB034900col_TOT_VB_PERM_CHG">Data!#REF!</definedName>
    <definedName name="LABB034900col_TOTAL_ELECT_PCN_FTI">Data!#REF!</definedName>
    <definedName name="LABB034900col_TOTAL_ELECT_PCN_FTI_ALT">Data!#REF!</definedName>
    <definedName name="LABB034900col_TOTAL_PERM_PCN_FTI">Data!#REF!</definedName>
    <definedName name="LABB034900col_UNEMP_INS">Data!#REF!</definedName>
    <definedName name="LABB034900col_UNEMP_INS_BY">Data!#REF!</definedName>
    <definedName name="LABB034900col_UNEMP_INS_CHG">Data!#REF!</definedName>
    <definedName name="LABB034900col_WORKERS_COMP">Data!#REF!</definedName>
    <definedName name="LABB034900col_WORKERS_COMP_BY">Data!#REF!</definedName>
    <definedName name="LABB034900col_WORKERS_COMP_CHG">Data!#REF!</definedName>
    <definedName name="LABB048270col_1_27TH_PP">Data!#REF!</definedName>
    <definedName name="LABB048270col_DHR">Data!#REF!</definedName>
    <definedName name="LABB048270col_DHR_BY">Data!#REF!</definedName>
    <definedName name="LABB048270col_DHR_CHG">Data!#REF!</definedName>
    <definedName name="LABB048270col_FTI_SALARY_ELECT">Data!#REF!</definedName>
    <definedName name="LABB048270col_FTI_SALARY_PERM">Data!#REF!</definedName>
    <definedName name="LABB048270col_FTI_SALARY_SSDI">Data!#REF!</definedName>
    <definedName name="LABB048270col_Group_Ben">Data!#REF!</definedName>
    <definedName name="LABB048270col_Group_Salary">Data!#REF!</definedName>
    <definedName name="LABB048270col_HEALTH_ELECT">Data!#REF!</definedName>
    <definedName name="LABB048270col_HEALTH_ELECT_BY">Data!#REF!</definedName>
    <definedName name="LABB048270col_HEALTH_ELECT_CHG">Data!#REF!</definedName>
    <definedName name="LABB048270col_HEALTH_PERM">Data!#REF!</definedName>
    <definedName name="LABB048270col_HEALTH_PERM_BY">Data!#REF!</definedName>
    <definedName name="LABB048270col_HEALTH_PERM_CHG">Data!#REF!</definedName>
    <definedName name="LABB048270col_INC_FTI">Data!#REF!</definedName>
    <definedName name="LABB048270col_LIFE_INS">Data!#REF!</definedName>
    <definedName name="LABB048270col_LIFE_INS_BY">Data!#REF!</definedName>
    <definedName name="LABB048270col_LIFE_INS_CHG">Data!#REF!</definedName>
    <definedName name="LABB048270col_RETIREMENT">Data!#REF!</definedName>
    <definedName name="LABB048270col_RETIREMENT_BY">Data!#REF!</definedName>
    <definedName name="LABB048270col_RETIREMENT_CHG">Data!#REF!</definedName>
    <definedName name="LABB048270col_ROWS_PER_PCN">Data!#REF!</definedName>
    <definedName name="LABB048270col_SICK">Data!#REF!</definedName>
    <definedName name="LABB048270col_SICK_BY">Data!#REF!</definedName>
    <definedName name="LABB048270col_SICK_CHG">Data!#REF!</definedName>
    <definedName name="LABB048270col_SSDI">Data!#REF!</definedName>
    <definedName name="LABB048270col_SSDI_BY">Data!#REF!</definedName>
    <definedName name="LABB048270col_SSDI_CHG">Data!#REF!</definedName>
    <definedName name="LABB048270col_SSHI">Data!#REF!</definedName>
    <definedName name="LABB048270col_SSHI_BY">Data!#REF!</definedName>
    <definedName name="LABB048270col_SSHI_CHGv">Data!#REF!</definedName>
    <definedName name="LABB048270col_TOT_VB_ELECT">Data!#REF!</definedName>
    <definedName name="LABB048270col_TOT_VB_ELECT_BY">Data!#REF!</definedName>
    <definedName name="LABB048270col_TOT_VB_ELECT_CHG">Data!#REF!</definedName>
    <definedName name="LABB048270col_TOT_VB_PERM">Data!#REF!</definedName>
    <definedName name="LABB048270col_TOT_VB_PERM_BY">Data!#REF!</definedName>
    <definedName name="LABB048270col_TOT_VB_PERM_CHG">Data!#REF!</definedName>
    <definedName name="LABB048270col_TOTAL_ELECT_PCN_FTI">Data!#REF!</definedName>
    <definedName name="LABB048270col_TOTAL_ELECT_PCN_FTI_ALT">Data!#REF!</definedName>
    <definedName name="LABB048270col_TOTAL_PERM_PCN_FTI">Data!#REF!</definedName>
    <definedName name="LABB048270col_UNEMP_INS">Data!#REF!</definedName>
    <definedName name="LABB048270col_UNEMP_INS_BY">Data!#REF!</definedName>
    <definedName name="LABB048270col_UNEMP_INS_CHG">Data!#REF!</definedName>
    <definedName name="LABB048270col_WORKERS_COMP">Data!#REF!</definedName>
    <definedName name="LABB048270col_WORKERS_COMP_BY">Data!#REF!</definedName>
    <definedName name="LABB048270col_WORKERS_COMP_CHG">Data!#REF!</definedName>
    <definedName name="Life">Benefits!$C$9</definedName>
    <definedName name="LifeBY">Benefits!$D$9</definedName>
    <definedName name="LifeCHG">Benefits!$E$9</definedName>
    <definedName name="LUMAFund" localSheetId="0">'LABA|0349-00'!$M$2</definedName>
    <definedName name="LUMAFund" localSheetId="1">'LABB|0482-00'!$M$2</definedName>
    <definedName name="LUMAFund">'B6'!$M$2</definedName>
    <definedName name="MAXSSDI">Benefits!$F$5</definedName>
    <definedName name="MAXSSDIBY">Benefits!$G$5</definedName>
    <definedName name="NEW_AdjGroup" localSheetId="0">'LABA|0349-00'!$AC$39</definedName>
    <definedName name="NEW_AdjGroup" localSheetId="1">'LABB|0482-00'!$AC$39</definedName>
    <definedName name="NEW_AdjGroup">'B6'!$AC$39</definedName>
    <definedName name="NEW_AdjGroupSalary" localSheetId="0">'LABA|0349-00'!$AA$39</definedName>
    <definedName name="NEW_AdjGroupSalary" localSheetId="1">'LABB|0482-00'!$AA$39</definedName>
    <definedName name="NEW_AdjGroupSalary">'B6'!$AA$39</definedName>
    <definedName name="NEW_AdjGroupVB" localSheetId="0">'LABA|0349-00'!$AB$39</definedName>
    <definedName name="NEW_AdjGroupVB" localSheetId="1">'LABB|0482-00'!$AB$39</definedName>
    <definedName name="NEW_AdjGroupVB">'B6'!$AB$39</definedName>
    <definedName name="NEW_AdjONLYGroup" localSheetId="0">'LABA|0349-00'!$AC$45</definedName>
    <definedName name="NEW_AdjONLYGroup" localSheetId="1">'LABB|0482-00'!$AC$45</definedName>
    <definedName name="NEW_AdjONLYGroup">'B6'!$AC$45</definedName>
    <definedName name="NEW_AdjONLYGroupSalary" localSheetId="0">'LABA|0349-00'!$AA$45</definedName>
    <definedName name="NEW_AdjONLYGroupSalary" localSheetId="1">'LABB|0482-00'!$AA$45</definedName>
    <definedName name="NEW_AdjONLYGroupSalary">'B6'!$AA$45</definedName>
    <definedName name="NEW_AdjONLYGroupVB" localSheetId="0">'LABA|0349-00'!$AB$45</definedName>
    <definedName name="NEW_AdjONLYGroupVB" localSheetId="1">'LABB|0482-00'!$AB$45</definedName>
    <definedName name="NEW_AdjONLYGroupVB">'B6'!$AB$45</definedName>
    <definedName name="NEW_AdjONLYPerm" localSheetId="0">'LABA|0349-00'!$AC$44</definedName>
    <definedName name="NEW_AdjONLYPerm" localSheetId="1">'LABB|0482-00'!$AC$44</definedName>
    <definedName name="NEW_AdjONLYPerm">'B6'!$AC$44</definedName>
    <definedName name="NEW_AdjONLYPermSalary" localSheetId="0">'LABA|0349-00'!$AA$44</definedName>
    <definedName name="NEW_AdjONLYPermSalary" localSheetId="1">'LABB|0482-00'!$AA$44</definedName>
    <definedName name="NEW_AdjONLYPermSalary">'B6'!$AA$44</definedName>
    <definedName name="NEW_AdjONLYPermVB" localSheetId="0">'LABA|0349-00'!$AB$44</definedName>
    <definedName name="NEW_AdjONLYPermVB" localSheetId="1">'LABB|0482-00'!$AB$44</definedName>
    <definedName name="NEW_AdjONLYPermVB">'B6'!$AB$44</definedName>
    <definedName name="NEW_AdjPerm" localSheetId="0">'LABA|0349-00'!$AC$38</definedName>
    <definedName name="NEW_AdjPerm" localSheetId="1">'LABB|0482-00'!$AC$38</definedName>
    <definedName name="NEW_AdjPerm">'B6'!$AC$38</definedName>
    <definedName name="NEW_AdjPermSalary" localSheetId="0">'LABA|0349-00'!$AA$38</definedName>
    <definedName name="NEW_AdjPermSalary" localSheetId="1">'LABB|0482-00'!$AA$38</definedName>
    <definedName name="NEW_AdjPermSalary">'B6'!$AA$38</definedName>
    <definedName name="NEW_AdjPermVB" localSheetId="0">'LABA|0349-00'!$AB$38</definedName>
    <definedName name="NEW_AdjPermVB" localSheetId="1">'LABB|0482-00'!$AB$38</definedName>
    <definedName name="NEW_AdjPermVB">'B6'!$AB$38</definedName>
    <definedName name="NEW_GroupFilled" localSheetId="0">'LABA|0349-00'!$AC$11</definedName>
    <definedName name="NEW_GroupFilled" localSheetId="1">'LABB|0482-00'!$AC$11</definedName>
    <definedName name="NEW_GroupFilled">'B6'!$AC$11</definedName>
    <definedName name="NEW_GroupSalaryFilled" localSheetId="0">'LABA|0349-00'!$AA$11</definedName>
    <definedName name="NEW_GroupSalaryFilled" localSheetId="1">'LABB|0482-00'!$AA$11</definedName>
    <definedName name="NEW_GroupSalaryFilled">'B6'!$AA$11</definedName>
    <definedName name="NEW_GroupVBFilled" localSheetId="0">'LABA|0349-00'!$AB$11</definedName>
    <definedName name="NEW_GroupVBFilled" localSheetId="1">'LABB|0482-00'!$AB$11</definedName>
    <definedName name="NEW_GroupVBFilled">'B6'!$AB$11</definedName>
    <definedName name="NEW_PermFilled" localSheetId="0">'LABA|0349-00'!$AC$10</definedName>
    <definedName name="NEW_PermFilled" localSheetId="1">'LABB|0482-00'!$AC$10</definedName>
    <definedName name="NEW_PermFilled">'B6'!$AC$10</definedName>
    <definedName name="NEW_PermSalaryFilled" localSheetId="0">'LABA|0349-00'!$AA$10</definedName>
    <definedName name="NEW_PermSalaryFilled" localSheetId="1">'LABB|0482-00'!$AA$10</definedName>
    <definedName name="NEW_PermSalaryFilled">'B6'!$AA$10</definedName>
    <definedName name="NEW_PermVBFilled" localSheetId="0">'LABA|0349-00'!$AB$10</definedName>
    <definedName name="NEW_PermVBFilled" localSheetId="1">'LABB|0482-00'!$AB$10</definedName>
    <definedName name="NEW_PermVBFilled">'B6'!$AB$10</definedName>
    <definedName name="OneTimePC_Total" localSheetId="0">'LABA|0349-00'!$J$63</definedName>
    <definedName name="OneTimePC_Total" localSheetId="1">'LABB|0482-00'!$J$63</definedName>
    <definedName name="OneTimePC_Total">'B6'!$J$63</definedName>
    <definedName name="OrigApprop" localSheetId="0">'LABA|0349-00'!$E$15</definedName>
    <definedName name="OrigApprop" localSheetId="1">'LABB|0482-00'!$E$15</definedName>
    <definedName name="OrigApprop">'B6'!$E$15</definedName>
    <definedName name="perm_name" localSheetId="0">'LABA|0349-00'!$C$10</definedName>
    <definedName name="perm_name" localSheetId="1">'LABB|0482-00'!$C$10</definedName>
    <definedName name="perm_name">'B6'!$C$10</definedName>
    <definedName name="PermFTP" localSheetId="0">'LABA|0349-00'!$F$10</definedName>
    <definedName name="PermFTP" localSheetId="1">'LABB|0482-00'!$F$10</definedName>
    <definedName name="PermFTP">'B6'!$F$10</definedName>
    <definedName name="PermFxdBen" localSheetId="0">'LABA|0349-00'!$H$10</definedName>
    <definedName name="PermFxdBen" localSheetId="1">'LABB|0482-00'!$H$10</definedName>
    <definedName name="PermFxdBen">'B6'!$H$10</definedName>
    <definedName name="PermFxdBenChg" localSheetId="0">'LABA|0349-00'!$L$10</definedName>
    <definedName name="PermFxdBenChg" localSheetId="1">'LABB|0482-00'!$L$10</definedName>
    <definedName name="PermFxdBenChg">'B6'!$L$10</definedName>
    <definedName name="PermFxdChg" localSheetId="0">'LABA|0349-00'!$L$10</definedName>
    <definedName name="PermFxdChg" localSheetId="1">'LABB|0482-00'!$L$10</definedName>
    <definedName name="PermFxdChg">'B6'!$L$10</definedName>
    <definedName name="PermSalary" localSheetId="0">'LABA|0349-00'!$G$10</definedName>
    <definedName name="PermSalary" localSheetId="1">'LABB|0482-00'!$G$10</definedName>
    <definedName name="PermSalary">'B6'!$G$10</definedName>
    <definedName name="PermVarBen" localSheetId="0">'LABA|0349-00'!$I$10</definedName>
    <definedName name="PermVarBen" localSheetId="1">'LABB|0482-00'!$I$10</definedName>
    <definedName name="PermVarBen">'B6'!$I$10</definedName>
    <definedName name="PermVarBenChg" localSheetId="0">'LABA|0349-00'!$M$10</definedName>
    <definedName name="PermVarBenChg" localSheetId="1">'LABB|0482-00'!$M$10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'LABA|0349-00'!$A$1:$N$81</definedName>
    <definedName name="_xlnm.Print_Area" localSheetId="1">'LABB|0482-00'!$A$1:$N$81</definedName>
    <definedName name="Prog_Unadjusted_Total" localSheetId="0">'LABA|0349-00'!$C$8:$N$16</definedName>
    <definedName name="Prog_Unadjusted_Total" localSheetId="1">'LABB|0482-00'!$C$8:$N$16</definedName>
    <definedName name="Prog_Unadjusted_Total">'B6'!$C$8:$N$16</definedName>
    <definedName name="Program" localSheetId="0">'LABA|0349-00'!$D$3</definedName>
    <definedName name="Program" localSheetId="1">'LABB|0482-00'!$D$3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'LABA|0349-00'!$G$52</definedName>
    <definedName name="RoundedAppropSalary" localSheetId="1">'LABB|0482-00'!$G$52</definedName>
    <definedName name="RoundedAppropSalary">'B6'!$G$52</definedName>
    <definedName name="SalaryChg" localSheetId="0">'LABA|0349-00'!$K$10</definedName>
    <definedName name="SalaryChg" localSheetId="1">'LABB|0482-00'!$K$10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'LABA|0349-00'!#REF!</definedName>
    <definedName name="SubCECBase" localSheetId="1">'LABB|0482-00'!#REF!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1" l="1"/>
  <c r="F12" i="11"/>
  <c r="G12" i="11"/>
  <c r="H12" i="11"/>
  <c r="I12" i="11"/>
  <c r="J12" i="11"/>
  <c r="K12" i="11"/>
  <c r="L12" i="11"/>
  <c r="M12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I16" i="11"/>
  <c r="L16" i="11"/>
  <c r="E17" i="11"/>
  <c r="L17" i="11"/>
  <c r="E18" i="11"/>
  <c r="F18" i="11"/>
  <c r="G18" i="11"/>
  <c r="H18" i="11"/>
  <c r="I18" i="11"/>
  <c r="J18" i="11"/>
  <c r="K18" i="11"/>
  <c r="L18" i="11"/>
  <c r="M18" i="11"/>
  <c r="E20" i="11"/>
  <c r="F20" i="11"/>
  <c r="G20" i="11"/>
  <c r="H20" i="11"/>
  <c r="I20" i="11"/>
  <c r="J20" i="11"/>
  <c r="K20" i="11"/>
  <c r="L20" i="11"/>
  <c r="M20" i="11"/>
  <c r="AW37" i="5"/>
  <c r="I19" i="11" s="1"/>
  <c r="AS37" i="5"/>
  <c r="E19" i="11" s="1"/>
  <c r="AZ35" i="5"/>
  <c r="AZ37" i="5" s="1"/>
  <c r="L19" i="11" s="1"/>
  <c r="AW35" i="5"/>
  <c r="I17" i="11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N23" i="13" s="1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2" i="5"/>
  <c r="CM3" i="5"/>
  <c r="CM4" i="5"/>
  <c r="CM5" i="5"/>
  <c r="CM6" i="5"/>
  <c r="CM7" i="5"/>
  <c r="CM8" i="5"/>
  <c r="CM9" i="5"/>
  <c r="CM10" i="5"/>
  <c r="CM11" i="5"/>
  <c r="CM12" i="5"/>
  <c r="CM2" i="5"/>
  <c r="CL3" i="5"/>
  <c r="CL4" i="5"/>
  <c r="CL5" i="5"/>
  <c r="CL6" i="5"/>
  <c r="CL7" i="5"/>
  <c r="CL8" i="5"/>
  <c r="CL9" i="5"/>
  <c r="CL10" i="5"/>
  <c r="CL11" i="5"/>
  <c r="CL12" i="5"/>
  <c r="CL2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T5" i="5" s="1"/>
  <c r="AS6" i="5"/>
  <c r="AX6" i="5" s="1"/>
  <c r="AS7" i="5"/>
  <c r="AT7" i="5" s="1"/>
  <c r="AS8" i="5"/>
  <c r="AT8" i="5" s="1"/>
  <c r="AS9" i="5"/>
  <c r="AT9" i="5" s="1"/>
  <c r="AS10" i="5"/>
  <c r="AT10" i="5" s="1"/>
  <c r="AS11" i="5"/>
  <c r="AT11" i="5" s="1"/>
  <c r="AS12" i="5"/>
  <c r="AX12" i="5" s="1"/>
  <c r="AS2" i="5"/>
  <c r="AX2" i="5" s="1"/>
  <c r="E27" i="7"/>
  <c r="N24" i="12" l="1"/>
  <c r="N33" i="12"/>
  <c r="N22" i="12"/>
  <c r="AX34" i="5"/>
  <c r="J16" i="11" s="1"/>
  <c r="AV34" i="5"/>
  <c r="H16" i="11" s="1"/>
  <c r="AU28" i="5"/>
  <c r="G10" i="11" s="1"/>
  <c r="AU34" i="5"/>
  <c r="G16" i="11" s="1"/>
  <c r="AT28" i="5"/>
  <c r="F10" i="11" s="1"/>
  <c r="AT34" i="5"/>
  <c r="F16" i="11" s="1"/>
  <c r="AU26" i="5"/>
  <c r="G8" i="11" s="1"/>
  <c r="AT26" i="5"/>
  <c r="F8" i="11" s="1"/>
  <c r="BA34" i="5"/>
  <c r="M16" i="11" s="1"/>
  <c r="AY34" i="5"/>
  <c r="K16" i="11" s="1"/>
  <c r="N26" i="12"/>
  <c r="N35" i="12"/>
  <c r="N27" i="13"/>
  <c r="N20" i="12"/>
  <c r="N21" i="13"/>
  <c r="N29" i="13"/>
  <c r="N21" i="12"/>
  <c r="N29" i="12"/>
  <c r="N25" i="13"/>
  <c r="N34" i="13"/>
  <c r="N22" i="13"/>
  <c r="N30" i="13"/>
  <c r="N25" i="12"/>
  <c r="N28" i="12"/>
  <c r="N24" i="13"/>
  <c r="N33" i="13"/>
  <c r="N26" i="13"/>
  <c r="N35" i="13"/>
  <c r="CM17" i="5"/>
  <c r="CM18" i="5" s="1"/>
  <c r="N39" i="13"/>
  <c r="N23" i="12"/>
  <c r="F52" i="13"/>
  <c r="F56" i="13" s="1"/>
  <c r="F60" i="13" s="1"/>
  <c r="N32" i="12"/>
  <c r="N30" i="12"/>
  <c r="N34" i="12"/>
  <c r="AW17" i="5"/>
  <c r="AW18" i="5" s="1"/>
  <c r="CL17" i="5"/>
  <c r="CL18" i="5" s="1"/>
  <c r="N39" i="12"/>
  <c r="F52" i="12"/>
  <c r="F56" i="12" s="1"/>
  <c r="F60" i="12" s="1"/>
  <c r="AW15" i="5"/>
  <c r="AW16" i="5" s="1"/>
  <c r="CE5" i="5"/>
  <c r="AZ5" i="5"/>
  <c r="BZ5" i="5"/>
  <c r="BL5" i="5"/>
  <c r="CG5" i="5"/>
  <c r="BH5" i="5"/>
  <c r="AY5" i="5"/>
  <c r="BT5" i="5"/>
  <c r="BG5" i="5"/>
  <c r="BS5" i="5"/>
  <c r="CA5" i="5"/>
  <c r="CM15" i="5"/>
  <c r="CM16" i="5" s="1"/>
  <c r="AT2" i="5"/>
  <c r="BV2" i="5" s="1"/>
  <c r="AX5" i="5"/>
  <c r="BD5" i="5" s="1"/>
  <c r="AT12" i="5"/>
  <c r="BG12" i="5" s="1"/>
  <c r="AT6" i="5"/>
  <c r="BZ6" i="5" s="1"/>
  <c r="AT4" i="5"/>
  <c r="BD4" i="5" s="1"/>
  <c r="CL15" i="5"/>
  <c r="CL16" i="5" s="1"/>
  <c r="CK11" i="5"/>
  <c r="CH11" i="5"/>
  <c r="CG11" i="5"/>
  <c r="BY11" i="5"/>
  <c r="BR11" i="5"/>
  <c r="BF11" i="5"/>
  <c r="BL11" i="5"/>
  <c r="CI11" i="5"/>
  <c r="CD11" i="5"/>
  <c r="BW11" i="5"/>
  <c r="BK11" i="5"/>
  <c r="CA11" i="5"/>
  <c r="BT11" i="5"/>
  <c r="BH11" i="5"/>
  <c r="AZ11" i="5"/>
  <c r="AU11" i="5"/>
  <c r="BB11" i="5" s="1"/>
  <c r="CC11" i="5"/>
  <c r="BV11" i="5"/>
  <c r="AV11" i="5"/>
  <c r="BO11" i="5" s="1"/>
  <c r="CF11" i="5"/>
  <c r="BQ11" i="5"/>
  <c r="BE11" i="5"/>
  <c r="BJ11" i="5"/>
  <c r="BI11" i="5"/>
  <c r="BA11" i="5"/>
  <c r="BZ11" i="5"/>
  <c r="BS11" i="5"/>
  <c r="BG11" i="5"/>
  <c r="AY11" i="5"/>
  <c r="CJ11" i="5"/>
  <c r="BX11" i="5"/>
  <c r="BU11" i="5"/>
  <c r="BM11" i="5"/>
  <c r="CE11" i="5"/>
  <c r="CI10" i="5"/>
  <c r="CD10" i="5"/>
  <c r="BW10" i="5"/>
  <c r="BK10" i="5"/>
  <c r="AV10" i="5"/>
  <c r="BO10" i="5" s="1"/>
  <c r="AU10" i="5"/>
  <c r="BN10" i="5" s="1"/>
  <c r="BS10" i="5"/>
  <c r="CA10" i="5"/>
  <c r="BT10" i="5"/>
  <c r="BH10" i="5"/>
  <c r="AZ10" i="5"/>
  <c r="BG10" i="5"/>
  <c r="BF10" i="5"/>
  <c r="CF10" i="5"/>
  <c r="BQ10" i="5"/>
  <c r="BE10" i="5"/>
  <c r="AY10" i="5"/>
  <c r="CC10" i="5"/>
  <c r="BV10" i="5"/>
  <c r="BJ10" i="5"/>
  <c r="CK10" i="5"/>
  <c r="BR10" i="5"/>
  <c r="CE10" i="5"/>
  <c r="BU10" i="5"/>
  <c r="BM10" i="5"/>
  <c r="BI10" i="5"/>
  <c r="BA10" i="5"/>
  <c r="CG10" i="5"/>
  <c r="BY10" i="5"/>
  <c r="CF8" i="5"/>
  <c r="BQ8" i="5"/>
  <c r="BE8" i="5"/>
  <c r="BM8" i="5"/>
  <c r="BA8" i="5"/>
  <c r="BH8" i="5"/>
  <c r="CC8" i="5"/>
  <c r="BV8" i="5"/>
  <c r="BJ8" i="5"/>
  <c r="BU8" i="5"/>
  <c r="BI8" i="5"/>
  <c r="BS8" i="5"/>
  <c r="BG8" i="5"/>
  <c r="AY8" i="5"/>
  <c r="AV8" i="5"/>
  <c r="BO8" i="5" s="1"/>
  <c r="CE8" i="5"/>
  <c r="CK8" i="5"/>
  <c r="BY8" i="5"/>
  <c r="BR8" i="5"/>
  <c r="BF8" i="5"/>
  <c r="AU8" i="5"/>
  <c r="BB8" i="5" s="1"/>
  <c r="CA8" i="5"/>
  <c r="CI8" i="5"/>
  <c r="CG8" i="5"/>
  <c r="CD8" i="5"/>
  <c r="BW8" i="5"/>
  <c r="BK8" i="5"/>
  <c r="BT8" i="5"/>
  <c r="AZ8" i="5"/>
  <c r="CA9" i="5"/>
  <c r="BT9" i="5"/>
  <c r="BH9" i="5"/>
  <c r="AZ9" i="5"/>
  <c r="CF9" i="5"/>
  <c r="BQ9" i="5"/>
  <c r="BE9" i="5"/>
  <c r="AV9" i="5"/>
  <c r="BO9" i="5" s="1"/>
  <c r="BW9" i="5"/>
  <c r="CC9" i="5"/>
  <c r="BV9" i="5"/>
  <c r="BJ9" i="5"/>
  <c r="BS9" i="5"/>
  <c r="BG9" i="5"/>
  <c r="AY9" i="5"/>
  <c r="CE9" i="5"/>
  <c r="AU9" i="5"/>
  <c r="BN9" i="5" s="1"/>
  <c r="CD9" i="5"/>
  <c r="BK9" i="5"/>
  <c r="BU9" i="5"/>
  <c r="BM9" i="5"/>
  <c r="BI9" i="5"/>
  <c r="BA9" i="5"/>
  <c r="CI9" i="5"/>
  <c r="CK9" i="5"/>
  <c r="BY9" i="5"/>
  <c r="BR9" i="5"/>
  <c r="BF9" i="5"/>
  <c r="CC7" i="5"/>
  <c r="BV7" i="5"/>
  <c r="BJ7" i="5"/>
  <c r="BS7" i="5"/>
  <c r="BG7" i="5"/>
  <c r="AY7" i="5"/>
  <c r="BR7" i="5"/>
  <c r="BF7" i="5"/>
  <c r="CE7" i="5"/>
  <c r="AV7" i="5"/>
  <c r="BY7" i="5"/>
  <c r="BQ7" i="5"/>
  <c r="BU7" i="5"/>
  <c r="BM7" i="5"/>
  <c r="BI7" i="5"/>
  <c r="BA7" i="5"/>
  <c r="CK7" i="5"/>
  <c r="BE7" i="5"/>
  <c r="CI7" i="5"/>
  <c r="CD7" i="5"/>
  <c r="BW7" i="5"/>
  <c r="BK7" i="5"/>
  <c r="CF7" i="5"/>
  <c r="CA7" i="5"/>
  <c r="BT7" i="5"/>
  <c r="BH7" i="5"/>
  <c r="AZ7" i="5"/>
  <c r="AU7" i="5"/>
  <c r="BJ5" i="5"/>
  <c r="BV5" i="5"/>
  <c r="CC5" i="5"/>
  <c r="CH5" i="5"/>
  <c r="AV5" i="5"/>
  <c r="BO5" i="5" s="1"/>
  <c r="AX7" i="5"/>
  <c r="BE5" i="5"/>
  <c r="BQ5" i="5"/>
  <c r="BX5" i="5"/>
  <c r="CF5" i="5"/>
  <c r="CJ5" i="5"/>
  <c r="AT3" i="5"/>
  <c r="AX8" i="5"/>
  <c r="AX9" i="5"/>
  <c r="BK5" i="5"/>
  <c r="BW5" i="5"/>
  <c r="CD5" i="5"/>
  <c r="CI5" i="5"/>
  <c r="AX10" i="5"/>
  <c r="BF5" i="5"/>
  <c r="BR5" i="5"/>
  <c r="BY5" i="5"/>
  <c r="CK5" i="5"/>
  <c r="AX11" i="5"/>
  <c r="BA5" i="5"/>
  <c r="BI5" i="5"/>
  <c r="BM5" i="5"/>
  <c r="BU5" i="5"/>
  <c r="AU5" i="5"/>
  <c r="BB5" i="5" s="1"/>
  <c r="E51" i="9"/>
  <c r="BA35" i="5" l="1"/>
  <c r="AU35" i="5"/>
  <c r="AT35" i="5"/>
  <c r="AV35" i="5"/>
  <c r="AY35" i="5"/>
  <c r="AX35" i="5"/>
  <c r="AS28" i="5"/>
  <c r="AU29" i="5"/>
  <c r="G11" i="11" s="1"/>
  <c r="AS26" i="5"/>
  <c r="AU27" i="5"/>
  <c r="AT27" i="5"/>
  <c r="AT29" i="5"/>
  <c r="F11" i="11" s="1"/>
  <c r="BI2" i="5"/>
  <c r="G11" i="13"/>
  <c r="E16" i="10"/>
  <c r="I11" i="13"/>
  <c r="I39" i="13" s="1"/>
  <c r="AB39" i="13" s="1"/>
  <c r="G16" i="10"/>
  <c r="F67" i="13"/>
  <c r="BD6" i="5"/>
  <c r="BY6" i="5"/>
  <c r="BV6" i="5"/>
  <c r="CK4" i="5"/>
  <c r="BK4" i="5"/>
  <c r="BH4" i="5"/>
  <c r="BP11" i="5"/>
  <c r="BG4" i="5"/>
  <c r="BF4" i="5"/>
  <c r="AV6" i="5"/>
  <c r="BC6" i="5" s="1"/>
  <c r="BM6" i="5"/>
  <c r="BL6" i="5"/>
  <c r="CE6" i="5"/>
  <c r="BR6" i="5"/>
  <c r="AS17" i="5"/>
  <c r="AS18" i="5" s="1"/>
  <c r="BI6" i="5"/>
  <c r="BS6" i="5"/>
  <c r="BW6" i="5"/>
  <c r="CA6" i="5"/>
  <c r="CF6" i="5"/>
  <c r="AT17" i="5"/>
  <c r="AT18" i="5" s="1"/>
  <c r="CG6" i="5"/>
  <c r="AY6" i="5"/>
  <c r="BU6" i="5"/>
  <c r="CK6" i="5"/>
  <c r="BK6" i="5"/>
  <c r="BX6" i="5"/>
  <c r="CI4" i="5"/>
  <c r="CA4" i="5"/>
  <c r="AZ4" i="5"/>
  <c r="BJ4" i="5"/>
  <c r="AY4" i="5"/>
  <c r="CD4" i="5"/>
  <c r="CC4" i="5"/>
  <c r="BZ4" i="5"/>
  <c r="AV4" i="5"/>
  <c r="BC4" i="5" s="1"/>
  <c r="BW4" i="5"/>
  <c r="BM4" i="5"/>
  <c r="BT4" i="5"/>
  <c r="BI4" i="5"/>
  <c r="BY4" i="5"/>
  <c r="BV4" i="5"/>
  <c r="CC6" i="5"/>
  <c r="BS4" i="5"/>
  <c r="BA4" i="5"/>
  <c r="BP4" i="5" s="1"/>
  <c r="CB4" i="5" s="1"/>
  <c r="BL4" i="5"/>
  <c r="BT6" i="5"/>
  <c r="CJ6" i="5"/>
  <c r="BQ6" i="5"/>
  <c r="BR4" i="5"/>
  <c r="AU4" i="5"/>
  <c r="BB4" i="5" s="1"/>
  <c r="CG4" i="5"/>
  <c r="CH4" i="5"/>
  <c r="AZ6" i="5"/>
  <c r="BE6" i="5"/>
  <c r="AX17" i="5"/>
  <c r="AX18" i="5" s="1"/>
  <c r="BG6" i="5"/>
  <c r="BA6" i="5"/>
  <c r="BP6" i="5" s="1"/>
  <c r="BF6" i="5"/>
  <c r="CH6" i="5"/>
  <c r="AU6" i="5"/>
  <c r="BN6" i="5" s="1"/>
  <c r="BG17" i="5"/>
  <c r="BG18" i="5" s="1"/>
  <c r="BN7" i="5"/>
  <c r="CI6" i="5"/>
  <c r="BJ6" i="5"/>
  <c r="CD6" i="5"/>
  <c r="BH6" i="5"/>
  <c r="BO7" i="5"/>
  <c r="BC5" i="5"/>
  <c r="BD2" i="5"/>
  <c r="I11" i="12"/>
  <c r="I39" i="12" s="1"/>
  <c r="AB39" i="12" s="1"/>
  <c r="G5" i="10"/>
  <c r="BF2" i="5"/>
  <c r="BE2" i="5"/>
  <c r="G11" i="12"/>
  <c r="E5" i="10"/>
  <c r="AV2" i="5"/>
  <c r="BC2" i="5" s="1"/>
  <c r="BW2" i="5"/>
  <c r="F67" i="12"/>
  <c r="BU2" i="5"/>
  <c r="CG2" i="5"/>
  <c r="BM2" i="5"/>
  <c r="BY2" i="5"/>
  <c r="AT15" i="5"/>
  <c r="AT16" i="5" s="1"/>
  <c r="CK2" i="5"/>
  <c r="CI2" i="5"/>
  <c r="CC2" i="5"/>
  <c r="BJ2" i="5"/>
  <c r="BR2" i="5"/>
  <c r="BQ2" i="5"/>
  <c r="CF2" i="5"/>
  <c r="BA2" i="5"/>
  <c r="BP2" i="5" s="1"/>
  <c r="AU2" i="5"/>
  <c r="BN2" i="5" s="1"/>
  <c r="CD2" i="5"/>
  <c r="BK2" i="5"/>
  <c r="BW12" i="5"/>
  <c r="BW17" i="5" s="1"/>
  <c r="BW18" i="5" s="1"/>
  <c r="BY12" i="5"/>
  <c r="BY17" i="5" s="1"/>
  <c r="BY18" i="5" s="1"/>
  <c r="BU12" i="5"/>
  <c r="BU17" i="5" s="1"/>
  <c r="BU18" i="5" s="1"/>
  <c r="BP5" i="5"/>
  <c r="CB5" i="5" s="1"/>
  <c r="CD12" i="5"/>
  <c r="CD17" i="5" s="1"/>
  <c r="CD18" i="5" s="1"/>
  <c r="CH12" i="5"/>
  <c r="BX12" i="5"/>
  <c r="AX15" i="5"/>
  <c r="AX16" i="5" s="1"/>
  <c r="BL12" i="5"/>
  <c r="BR12" i="5"/>
  <c r="BR17" i="5" s="1"/>
  <c r="BR18" i="5" s="1"/>
  <c r="BI12" i="5"/>
  <c r="BI17" i="5" s="1"/>
  <c r="BI18" i="5" s="1"/>
  <c r="CI12" i="5"/>
  <c r="CI17" i="5" s="1"/>
  <c r="CI18" i="5" s="1"/>
  <c r="BP9" i="5"/>
  <c r="BX9" i="5" s="1"/>
  <c r="BP10" i="5"/>
  <c r="BX10" i="5" s="1"/>
  <c r="BM12" i="5"/>
  <c r="BM17" i="5" s="1"/>
  <c r="BM18" i="5" s="1"/>
  <c r="BA12" i="5"/>
  <c r="BP12" i="5" s="1"/>
  <c r="CG12" i="5"/>
  <c r="BT12" i="5"/>
  <c r="BT17" i="5" s="1"/>
  <c r="BT18" i="5" s="1"/>
  <c r="BP7" i="5"/>
  <c r="BZ12" i="5"/>
  <c r="BP8" i="5"/>
  <c r="BX8" i="5" s="1"/>
  <c r="BB10" i="5"/>
  <c r="BZ10" i="5" s="1"/>
  <c r="CA12" i="5"/>
  <c r="CA17" i="5" s="1"/>
  <c r="CA18" i="5" s="1"/>
  <c r="BS12" i="5"/>
  <c r="BS17" i="5" s="1"/>
  <c r="BS18" i="5" s="1"/>
  <c r="AY12" i="5"/>
  <c r="AY17" i="5" s="1"/>
  <c r="AY18" i="5" s="1"/>
  <c r="BD9" i="5"/>
  <c r="BL9" i="5" s="1"/>
  <c r="AU12" i="5"/>
  <c r="BB12" i="5" s="1"/>
  <c r="BH12" i="5"/>
  <c r="BH17" i="5" s="1"/>
  <c r="BH18" i="5" s="1"/>
  <c r="CC12" i="5"/>
  <c r="CC17" i="5" s="1"/>
  <c r="CC18" i="5" s="1"/>
  <c r="AV12" i="5"/>
  <c r="BC12" i="5" s="1"/>
  <c r="BD12" i="5"/>
  <c r="BF12" i="5"/>
  <c r="BF17" i="5" s="1"/>
  <c r="BF18" i="5" s="1"/>
  <c r="BJ12" i="5"/>
  <c r="BJ17" i="5" s="1"/>
  <c r="BJ18" i="5" s="1"/>
  <c r="CK12" i="5"/>
  <c r="CK17" i="5" s="1"/>
  <c r="CK18" i="5" s="1"/>
  <c r="BK12" i="5"/>
  <c r="BK17" i="5" s="1"/>
  <c r="BK18" i="5" s="1"/>
  <c r="AZ12" i="5"/>
  <c r="AZ17" i="5" s="1"/>
  <c r="AZ18" i="5" s="1"/>
  <c r="BV12" i="5"/>
  <c r="BV17" i="5" s="1"/>
  <c r="BV18" i="5" s="1"/>
  <c r="CJ12" i="5"/>
  <c r="BQ12" i="5"/>
  <c r="BQ17" i="5" s="1"/>
  <c r="BQ18" i="5" s="1"/>
  <c r="CE12" i="5"/>
  <c r="CE17" i="5" s="1"/>
  <c r="CE18" i="5" s="1"/>
  <c r="CF12" i="5"/>
  <c r="CF17" i="5" s="1"/>
  <c r="CF18" i="5" s="1"/>
  <c r="BE12" i="5"/>
  <c r="BE17" i="5" s="1"/>
  <c r="BE18" i="5" s="1"/>
  <c r="CE2" i="5"/>
  <c r="CA2" i="5"/>
  <c r="AZ2" i="5"/>
  <c r="BH2" i="5"/>
  <c r="AY2" i="5"/>
  <c r="BT2" i="5"/>
  <c r="BG2" i="5"/>
  <c r="BS2" i="5"/>
  <c r="BC9" i="5"/>
  <c r="BU4" i="5"/>
  <c r="CJ4" i="5"/>
  <c r="BX4" i="5"/>
  <c r="BE4" i="5"/>
  <c r="CF4" i="5"/>
  <c r="CE4" i="5"/>
  <c r="BQ4" i="5"/>
  <c r="BC8" i="5"/>
  <c r="BN8" i="5"/>
  <c r="BZ8" i="5" s="1"/>
  <c r="BN11" i="5"/>
  <c r="AS15" i="5"/>
  <c r="AS16" i="5" s="1"/>
  <c r="BD11" i="5"/>
  <c r="BN5" i="5"/>
  <c r="BD7" i="5"/>
  <c r="BD10" i="5"/>
  <c r="BL10" i="5" s="1"/>
  <c r="BC10" i="5"/>
  <c r="BC7" i="5"/>
  <c r="BB7" i="5"/>
  <c r="BB9" i="5"/>
  <c r="BZ9" i="5" s="1"/>
  <c r="BD8" i="5"/>
  <c r="BC11" i="5"/>
  <c r="CK3" i="5"/>
  <c r="BY3" i="5"/>
  <c r="BR3" i="5"/>
  <c r="BF3" i="5"/>
  <c r="BV3" i="5"/>
  <c r="BJ3" i="5"/>
  <c r="AV3" i="5"/>
  <c r="BO3" i="5" s="1"/>
  <c r="CI3" i="5"/>
  <c r="CD3" i="5"/>
  <c r="BW3" i="5"/>
  <c r="BK3" i="5"/>
  <c r="BI3" i="5"/>
  <c r="CG3" i="5"/>
  <c r="CA3" i="5"/>
  <c r="BT3" i="5"/>
  <c r="BL3" i="5"/>
  <c r="BH3" i="5"/>
  <c r="AZ3" i="5"/>
  <c r="AU3" i="5"/>
  <c r="BB3" i="5" s="1"/>
  <c r="BM3" i="5"/>
  <c r="CJ3" i="5"/>
  <c r="CF3" i="5"/>
  <c r="BX3" i="5"/>
  <c r="BQ3" i="5"/>
  <c r="BE3" i="5"/>
  <c r="CH3" i="5"/>
  <c r="CC3" i="5"/>
  <c r="BU3" i="5"/>
  <c r="BZ3" i="5"/>
  <c r="BS3" i="5"/>
  <c r="BG3" i="5"/>
  <c r="AY3" i="5"/>
  <c r="BA3" i="5"/>
  <c r="BP3" i="5" s="1"/>
  <c r="CE3" i="5"/>
  <c r="BD3" i="5"/>
  <c r="C12" i="7"/>
  <c r="C13" i="7"/>
  <c r="C14" i="7"/>
  <c r="AS29" i="5" l="1"/>
  <c r="E11" i="11" s="1"/>
  <c r="E10" i="11"/>
  <c r="J17" i="11"/>
  <c r="AX37" i="5"/>
  <c r="J19" i="11" s="1"/>
  <c r="H17" i="11"/>
  <c r="AV37" i="5"/>
  <c r="H19" i="11" s="1"/>
  <c r="AY37" i="5"/>
  <c r="K19" i="11" s="1"/>
  <c r="K17" i="11"/>
  <c r="F9" i="11"/>
  <c r="AT31" i="5"/>
  <c r="F17" i="11"/>
  <c r="AT37" i="5"/>
  <c r="F19" i="11" s="1"/>
  <c r="G9" i="11"/>
  <c r="AU31" i="5"/>
  <c r="G17" i="11"/>
  <c r="AU37" i="5"/>
  <c r="G19" i="11" s="1"/>
  <c r="AS27" i="5"/>
  <c r="E8" i="11"/>
  <c r="BA37" i="5"/>
  <c r="M19" i="11" s="1"/>
  <c r="M17" i="11"/>
  <c r="G63" i="12"/>
  <c r="I63" i="12" s="1"/>
  <c r="G63" i="13"/>
  <c r="I63" i="13" s="1"/>
  <c r="AV26" i="5"/>
  <c r="H8" i="11" s="1"/>
  <c r="AY26" i="5"/>
  <c r="K8" i="11" s="1"/>
  <c r="AY28" i="5"/>
  <c r="K10" i="11" s="1"/>
  <c r="AV28" i="5"/>
  <c r="H10" i="11" s="1"/>
  <c r="CB11" i="5"/>
  <c r="CB6" i="5"/>
  <c r="BO6" i="5"/>
  <c r="H16" i="10"/>
  <c r="F10" i="13"/>
  <c r="D15" i="10"/>
  <c r="L12" i="13"/>
  <c r="J17" i="10"/>
  <c r="G17" i="10"/>
  <c r="I12" i="13"/>
  <c r="I40" i="13" s="1"/>
  <c r="F12" i="13"/>
  <c r="F40" i="13" s="1"/>
  <c r="D17" i="10"/>
  <c r="E17" i="10"/>
  <c r="G12" i="13"/>
  <c r="G10" i="13"/>
  <c r="E15" i="10"/>
  <c r="M12" i="13"/>
  <c r="M40" i="13" s="1"/>
  <c r="K17" i="10"/>
  <c r="J11" i="13"/>
  <c r="G39" i="13"/>
  <c r="AB11" i="13"/>
  <c r="AB45" i="13" s="1"/>
  <c r="AA11" i="13"/>
  <c r="F75" i="13"/>
  <c r="F80" i="13" s="1"/>
  <c r="BI15" i="5"/>
  <c r="BI16" i="5" s="1"/>
  <c r="BD15" i="5"/>
  <c r="BD16" i="5" s="1"/>
  <c r="BO4" i="5"/>
  <c r="BB6" i="5"/>
  <c r="BY15" i="5"/>
  <c r="BY16" i="5" s="1"/>
  <c r="CK15" i="5"/>
  <c r="CK16" i="5" s="1"/>
  <c r="K6" i="10" s="1"/>
  <c r="H5" i="10"/>
  <c r="BB2" i="5"/>
  <c r="BJ15" i="5"/>
  <c r="BJ16" i="5" s="1"/>
  <c r="BN4" i="5"/>
  <c r="BV15" i="5"/>
  <c r="BV16" i="5" s="1"/>
  <c r="BD17" i="5"/>
  <c r="BD18" i="5" s="1"/>
  <c r="BW15" i="5"/>
  <c r="BW16" i="5" s="1"/>
  <c r="BA17" i="5"/>
  <c r="BA18" i="5" s="1"/>
  <c r="CB2" i="5"/>
  <c r="CG15" i="5"/>
  <c r="CG16" i="5" s="1"/>
  <c r="BZ7" i="5"/>
  <c r="BZ17" i="5" s="1"/>
  <c r="BZ18" i="5" s="1"/>
  <c r="BB17" i="5"/>
  <c r="BB18" i="5" s="1"/>
  <c r="AV17" i="5"/>
  <c r="AV18" i="5" s="1"/>
  <c r="BC17" i="5"/>
  <c r="BC18" i="5" s="1"/>
  <c r="BX7" i="5"/>
  <c r="BX17" i="5" s="1"/>
  <c r="BX18" i="5" s="1"/>
  <c r="BP17" i="5"/>
  <c r="BP18" i="5" s="1"/>
  <c r="AU17" i="5"/>
  <c r="AU18" i="5" s="1"/>
  <c r="BF15" i="5"/>
  <c r="BF16" i="5" s="1"/>
  <c r="BO2" i="5"/>
  <c r="AB11" i="12"/>
  <c r="AB45" i="12" s="1"/>
  <c r="G39" i="12"/>
  <c r="AA11" i="12"/>
  <c r="J11" i="12"/>
  <c r="F10" i="12"/>
  <c r="D4" i="10"/>
  <c r="F12" i="12"/>
  <c r="F40" i="12" s="1"/>
  <c r="D6" i="10"/>
  <c r="BM15" i="5"/>
  <c r="BM16" i="5" s="1"/>
  <c r="F75" i="12"/>
  <c r="F80" i="12" s="1"/>
  <c r="BR15" i="5"/>
  <c r="BR16" i="5" s="1"/>
  <c r="BK15" i="5"/>
  <c r="BK16" i="5" s="1"/>
  <c r="CC15" i="5"/>
  <c r="CC16" i="5" s="1"/>
  <c r="BG15" i="5"/>
  <c r="BG16" i="5" s="1"/>
  <c r="CI15" i="5"/>
  <c r="CI16" i="5" s="1"/>
  <c r="CB8" i="5"/>
  <c r="CD15" i="5"/>
  <c r="CD16" i="5" s="1"/>
  <c r="BQ15" i="5"/>
  <c r="BQ16" i="5" s="1"/>
  <c r="BO12" i="5"/>
  <c r="BO17" i="5" s="1"/>
  <c r="BO18" i="5" s="1"/>
  <c r="AZ15" i="5"/>
  <c r="AZ16" i="5" s="1"/>
  <c r="BU15" i="5"/>
  <c r="BU16" i="5" s="1"/>
  <c r="CE15" i="5"/>
  <c r="CE16" i="5" s="1"/>
  <c r="BS15" i="5"/>
  <c r="BS16" i="5" s="1"/>
  <c r="CB12" i="5"/>
  <c r="CA15" i="5"/>
  <c r="CA16" i="5" s="1"/>
  <c r="CB9" i="5"/>
  <c r="BH15" i="5"/>
  <c r="BH16" i="5" s="1"/>
  <c r="CB7" i="5"/>
  <c r="AV15" i="5"/>
  <c r="AV16" i="5" s="1"/>
  <c r="BL7" i="5"/>
  <c r="BC3" i="5"/>
  <c r="BC15" i="5" s="1"/>
  <c r="BC16" i="5" s="1"/>
  <c r="BL2" i="5"/>
  <c r="AY15" i="5"/>
  <c r="AY16" i="5" s="1"/>
  <c r="BN12" i="5"/>
  <c r="BN17" i="5" s="1"/>
  <c r="BN18" i="5" s="1"/>
  <c r="BT15" i="5"/>
  <c r="BT16" i="5" s="1"/>
  <c r="BE15" i="5"/>
  <c r="BE16" i="5" s="1"/>
  <c r="BX2" i="5"/>
  <c r="CB10" i="5"/>
  <c r="CF15" i="5"/>
  <c r="CF16" i="5" s="1"/>
  <c r="CB3" i="5"/>
  <c r="BP15" i="5"/>
  <c r="BP16" i="5" s="1"/>
  <c r="BN3" i="5"/>
  <c r="BA15" i="5"/>
  <c r="BA16" i="5" s="1"/>
  <c r="AU15" i="5"/>
  <c r="AU16" i="5" s="1"/>
  <c r="BL8" i="5"/>
  <c r="D14" i="7"/>
  <c r="AU39" i="5" l="1"/>
  <c r="G21" i="11" s="1"/>
  <c r="G13" i="11"/>
  <c r="AT39" i="5"/>
  <c r="F21" i="11" s="1"/>
  <c r="F13" i="11"/>
  <c r="AS31" i="5"/>
  <c r="E9" i="11"/>
  <c r="AV29" i="5"/>
  <c r="H11" i="11" s="1"/>
  <c r="AY27" i="5"/>
  <c r="BZ2" i="5"/>
  <c r="BZ15" i="5" s="1"/>
  <c r="BZ16" i="5" s="1"/>
  <c r="L10" i="12" s="1"/>
  <c r="AW28" i="5"/>
  <c r="I10" i="11" s="1"/>
  <c r="AW26" i="5"/>
  <c r="I8" i="11" s="1"/>
  <c r="AZ26" i="5"/>
  <c r="L8" i="11" s="1"/>
  <c r="AY29" i="5"/>
  <c r="K11" i="11" s="1"/>
  <c r="BL15" i="5"/>
  <c r="BL16" i="5" s="1"/>
  <c r="G4" i="10" s="1"/>
  <c r="AX28" i="5"/>
  <c r="J10" i="11" s="1"/>
  <c r="AX26" i="5"/>
  <c r="J8" i="11" s="1"/>
  <c r="AZ28" i="5"/>
  <c r="L10" i="11" s="1"/>
  <c r="BX15" i="5"/>
  <c r="BX16" i="5" s="1"/>
  <c r="BA28" i="5"/>
  <c r="M10" i="11" s="1"/>
  <c r="BA26" i="5"/>
  <c r="M8" i="11" s="1"/>
  <c r="AV27" i="5"/>
  <c r="H12" i="13"/>
  <c r="H40" i="13" s="1"/>
  <c r="F17" i="10"/>
  <c r="H17" i="10" s="1"/>
  <c r="I15" i="10"/>
  <c r="K10" i="13"/>
  <c r="E18" i="10"/>
  <c r="BO15" i="5"/>
  <c r="BO16" i="5" s="1"/>
  <c r="F15" i="10"/>
  <c r="H10" i="13"/>
  <c r="G13" i="13"/>
  <c r="AA10" i="13"/>
  <c r="G38" i="13"/>
  <c r="L17" i="10"/>
  <c r="M12" i="12"/>
  <c r="M40" i="12" s="1"/>
  <c r="L10" i="13"/>
  <c r="J15" i="10"/>
  <c r="N12" i="13"/>
  <c r="L40" i="13"/>
  <c r="N40" i="13" s="1"/>
  <c r="G40" i="13"/>
  <c r="D18" i="10"/>
  <c r="D21" i="10" s="1"/>
  <c r="AA39" i="13"/>
  <c r="J39" i="13"/>
  <c r="F38" i="13"/>
  <c r="F41" i="13" s="1"/>
  <c r="F13" i="13"/>
  <c r="F16" i="13" s="1"/>
  <c r="BB15" i="5"/>
  <c r="BB16" i="5" s="1"/>
  <c r="H10" i="12" s="1"/>
  <c r="CB15" i="5"/>
  <c r="CB16" i="5" s="1"/>
  <c r="BN15" i="5"/>
  <c r="BN16" i="5" s="1"/>
  <c r="D7" i="10"/>
  <c r="D10" i="10" s="1"/>
  <c r="CB17" i="5"/>
  <c r="CB18" i="5" s="1"/>
  <c r="BL17" i="5"/>
  <c r="BL18" i="5" s="1"/>
  <c r="F38" i="12"/>
  <c r="F41" i="12" s="1"/>
  <c r="F13" i="12"/>
  <c r="F16" i="12" s="1"/>
  <c r="J6" i="10"/>
  <c r="L6" i="10" s="1"/>
  <c r="L12" i="12"/>
  <c r="I12" i="12"/>
  <c r="I40" i="12" s="1"/>
  <c r="G6" i="10"/>
  <c r="AA39" i="12"/>
  <c r="J39" i="12"/>
  <c r="G10" i="12"/>
  <c r="E4" i="10"/>
  <c r="F6" i="10"/>
  <c r="H12" i="12"/>
  <c r="H40" i="12" s="1"/>
  <c r="E6" i="10"/>
  <c r="G12" i="12"/>
  <c r="I4" i="10"/>
  <c r="K10" i="12"/>
  <c r="AB10" i="9"/>
  <c r="AY31" i="5" l="1"/>
  <c r="K9" i="11"/>
  <c r="H9" i="11"/>
  <c r="AV31" i="5"/>
  <c r="AS39" i="5"/>
  <c r="E21" i="11" s="1"/>
  <c r="E13" i="11"/>
  <c r="I10" i="12"/>
  <c r="J10" i="12" s="1"/>
  <c r="J4" i="10"/>
  <c r="J7" i="10" s="1"/>
  <c r="AW29" i="5"/>
  <c r="I11" i="11" s="1"/>
  <c r="AX29" i="5"/>
  <c r="J11" i="11" s="1"/>
  <c r="AZ29" i="5"/>
  <c r="L11" i="11" s="1"/>
  <c r="AZ27" i="5"/>
  <c r="BA27" i="5"/>
  <c r="BA29" i="5"/>
  <c r="M11" i="11" s="1"/>
  <c r="AX27" i="5"/>
  <c r="AW27" i="5"/>
  <c r="J40" i="13"/>
  <c r="J12" i="13"/>
  <c r="AC39" i="13"/>
  <c r="AA45" i="13"/>
  <c r="AC45" i="13" s="1"/>
  <c r="AA38" i="13"/>
  <c r="G41" i="13"/>
  <c r="G15" i="10"/>
  <c r="I10" i="13"/>
  <c r="F43" i="13"/>
  <c r="F44" i="13"/>
  <c r="F45" i="13"/>
  <c r="J18" i="10"/>
  <c r="H38" i="13"/>
  <c r="H41" i="13" s="1"/>
  <c r="H13" i="13"/>
  <c r="L38" i="13"/>
  <c r="L13" i="13"/>
  <c r="F18" i="10"/>
  <c r="F4" i="10"/>
  <c r="H4" i="10" s="1"/>
  <c r="G7" i="10"/>
  <c r="E7" i="10"/>
  <c r="H6" i="10"/>
  <c r="L13" i="12"/>
  <c r="L38" i="12"/>
  <c r="H13" i="12"/>
  <c r="H38" i="12"/>
  <c r="H41" i="12" s="1"/>
  <c r="L40" i="12"/>
  <c r="N40" i="12" s="1"/>
  <c r="N12" i="12"/>
  <c r="G40" i="12"/>
  <c r="J40" i="12" s="1"/>
  <c r="J12" i="12"/>
  <c r="AA10" i="12"/>
  <c r="G38" i="12"/>
  <c r="G13" i="12"/>
  <c r="AC39" i="12"/>
  <c r="AA45" i="12"/>
  <c r="AC45" i="12" s="1"/>
  <c r="F43" i="12"/>
  <c r="F44" i="12"/>
  <c r="F45" i="12"/>
  <c r="AA11" i="9"/>
  <c r="AC11" i="9"/>
  <c r="AA10" i="9"/>
  <c r="I9" i="11" l="1"/>
  <c r="AW31" i="5"/>
  <c r="I38" i="12"/>
  <c r="J38" i="12" s="1"/>
  <c r="J41" i="12" s="1"/>
  <c r="H51" i="12" s="1"/>
  <c r="AZ31" i="5"/>
  <c r="L9" i="11"/>
  <c r="H13" i="11"/>
  <c r="AV39" i="5"/>
  <c r="H21" i="11" s="1"/>
  <c r="K13" i="11"/>
  <c r="AY39" i="5"/>
  <c r="K21" i="11" s="1"/>
  <c r="I13" i="12"/>
  <c r="J13" i="12" s="1"/>
  <c r="H15" i="12" s="1"/>
  <c r="H16" i="12" s="1"/>
  <c r="BA31" i="5"/>
  <c r="M9" i="11"/>
  <c r="AX31" i="5"/>
  <c r="J9" i="11"/>
  <c r="AA44" i="13"/>
  <c r="L41" i="13"/>
  <c r="I13" i="13"/>
  <c r="J13" i="13" s="1"/>
  <c r="I38" i="13"/>
  <c r="F7" i="10"/>
  <c r="H7" i="10" s="1"/>
  <c r="E9" i="10" s="1"/>
  <c r="G18" i="10"/>
  <c r="H18" i="10" s="1"/>
  <c r="H15" i="10"/>
  <c r="J10" i="13"/>
  <c r="L41" i="12"/>
  <c r="I41" i="12"/>
  <c r="AA38" i="12"/>
  <c r="G41" i="12"/>
  <c r="AC10" i="9"/>
  <c r="AZ39" i="5" l="1"/>
  <c r="L21" i="11" s="1"/>
  <c r="L13" i="11"/>
  <c r="I13" i="11"/>
  <c r="AW39" i="5"/>
  <c r="I21" i="11" s="1"/>
  <c r="AX39" i="5"/>
  <c r="J21" i="11" s="1"/>
  <c r="J13" i="11"/>
  <c r="BA39" i="5"/>
  <c r="M21" i="11" s="1"/>
  <c r="M13" i="11"/>
  <c r="F9" i="10"/>
  <c r="F10" i="10" s="1"/>
  <c r="E20" i="10"/>
  <c r="F20" i="10"/>
  <c r="F21" i="10" s="1"/>
  <c r="G15" i="13"/>
  <c r="H15" i="13"/>
  <c r="H16" i="13" s="1"/>
  <c r="I41" i="13"/>
  <c r="J38" i="13"/>
  <c r="J41" i="13" s="1"/>
  <c r="G15" i="12"/>
  <c r="G16" i="12" s="1"/>
  <c r="H43" i="12"/>
  <c r="H52" i="12"/>
  <c r="H56" i="12" s="1"/>
  <c r="H60" i="12" s="1"/>
  <c r="G51" i="12"/>
  <c r="AA44" i="12"/>
  <c r="G9" i="10"/>
  <c r="G10" i="10" s="1"/>
  <c r="E10" i="10"/>
  <c r="I51" i="12"/>
  <c r="E73" i="9"/>
  <c r="E72" i="9"/>
  <c r="I51" i="13" l="1"/>
  <c r="I43" i="13" s="1"/>
  <c r="G16" i="13"/>
  <c r="I15" i="13"/>
  <c r="I16" i="13" s="1"/>
  <c r="G51" i="13"/>
  <c r="H51" i="13"/>
  <c r="G20" i="10"/>
  <c r="G21" i="10" s="1"/>
  <c r="E21" i="10"/>
  <c r="I15" i="12"/>
  <c r="I16" i="12" s="1"/>
  <c r="H9" i="10"/>
  <c r="H10" i="10" s="1"/>
  <c r="H44" i="12"/>
  <c r="H67" i="12"/>
  <c r="I52" i="12"/>
  <c r="I56" i="12" s="1"/>
  <c r="I60" i="12" s="1"/>
  <c r="I43" i="12"/>
  <c r="J51" i="12"/>
  <c r="J52" i="12" s="1"/>
  <c r="J56" i="12" s="1"/>
  <c r="J60" i="12" s="1"/>
  <c r="J67" i="12" s="1"/>
  <c r="G52" i="12"/>
  <c r="G56" i="12" s="1"/>
  <c r="G60" i="12" s="1"/>
  <c r="G43" i="12"/>
  <c r="J79" i="9"/>
  <c r="J78" i="9"/>
  <c r="J77" i="9"/>
  <c r="J15" i="13" l="1"/>
  <c r="J16" i="13" s="1"/>
  <c r="J21" i="10" s="1"/>
  <c r="I52" i="13"/>
  <c r="I56" i="13" s="1"/>
  <c r="I60" i="13" s="1"/>
  <c r="I44" i="13" s="1"/>
  <c r="J15" i="12"/>
  <c r="J16" i="12" s="1"/>
  <c r="L16" i="12" s="1"/>
  <c r="H52" i="13"/>
  <c r="H56" i="13" s="1"/>
  <c r="H60" i="13" s="1"/>
  <c r="H43" i="13"/>
  <c r="G52" i="13"/>
  <c r="G56" i="13" s="1"/>
  <c r="G60" i="13" s="1"/>
  <c r="G43" i="13"/>
  <c r="J51" i="13"/>
  <c r="J52" i="13" s="1"/>
  <c r="J56" i="13" s="1"/>
  <c r="J60" i="13" s="1"/>
  <c r="J67" i="13" s="1"/>
  <c r="L16" i="13"/>
  <c r="H20" i="10"/>
  <c r="H21" i="10" s="1"/>
  <c r="G72" i="12"/>
  <c r="M72" i="12"/>
  <c r="H68" i="12"/>
  <c r="J68" i="12" s="1"/>
  <c r="G73" i="12"/>
  <c r="I73" i="12" s="1"/>
  <c r="J73" i="12" s="1"/>
  <c r="O72" i="12"/>
  <c r="I67" i="12"/>
  <c r="I44" i="12"/>
  <c r="J43" i="12"/>
  <c r="K43" i="12" s="1"/>
  <c r="H45" i="12"/>
  <c r="G67" i="12"/>
  <c r="G44" i="12"/>
  <c r="H63" i="9"/>
  <c r="J10" i="10" l="1"/>
  <c r="J43" i="13"/>
  <c r="K43" i="13" s="1"/>
  <c r="I67" i="13"/>
  <c r="O72" i="13"/>
  <c r="M72" i="13"/>
  <c r="G72" i="13"/>
  <c r="G73" i="13"/>
  <c r="I73" i="13" s="1"/>
  <c r="J73" i="13" s="1"/>
  <c r="H68" i="13"/>
  <c r="J68" i="13" s="1"/>
  <c r="G67" i="13"/>
  <c r="G44" i="13"/>
  <c r="I45" i="13"/>
  <c r="H44" i="13"/>
  <c r="H67" i="13"/>
  <c r="J44" i="12"/>
  <c r="K44" i="12" s="1"/>
  <c r="I45" i="12"/>
  <c r="G45" i="12"/>
  <c r="G75" i="12"/>
  <c r="G80" i="12" s="1"/>
  <c r="H75" i="12"/>
  <c r="H80" i="12" s="1"/>
  <c r="K8" i="9"/>
  <c r="J45" i="12" l="1"/>
  <c r="K45" i="12" s="1"/>
  <c r="H45" i="13"/>
  <c r="H75" i="13"/>
  <c r="H80" i="13" s="1"/>
  <c r="J44" i="13"/>
  <c r="K44" i="13" s="1"/>
  <c r="G45" i="13"/>
  <c r="G75" i="13"/>
  <c r="G80" i="13" s="1"/>
  <c r="I35" i="9"/>
  <c r="G63" i="9"/>
  <c r="I63" i="9" s="1"/>
  <c r="J45" i="13" l="1"/>
  <c r="K46" i="12"/>
  <c r="K46" i="13"/>
  <c r="K45" i="13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7" i="5" l="1"/>
  <c r="CH17" i="5" s="1"/>
  <c r="CH18" i="5" s="1"/>
  <c r="CH2" i="5"/>
  <c r="CH8" i="5"/>
  <c r="CJ8" i="5" s="1"/>
  <c r="CH9" i="5"/>
  <c r="CH10" i="5"/>
  <c r="CJ10" i="5" s="1"/>
  <c r="CG7" i="5"/>
  <c r="CG9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9" i="5" l="1"/>
  <c r="CJ7" i="5"/>
  <c r="CJ17" i="5" s="1"/>
  <c r="CJ18" i="5" s="1"/>
  <c r="CG17" i="5"/>
  <c r="CG18" i="5" s="1"/>
  <c r="CJ2" i="5"/>
  <c r="CJ15" i="5" s="1"/>
  <c r="CJ16" i="5" s="1"/>
  <c r="CH15" i="5"/>
  <c r="CH16" i="5" s="1"/>
  <c r="F80" i="9"/>
  <c r="F45" i="9"/>
  <c r="N22" i="9"/>
  <c r="N21" i="9"/>
  <c r="H51" i="9"/>
  <c r="H43" i="9" s="1"/>
  <c r="I51" i="9"/>
  <c r="I43" i="9" s="1"/>
  <c r="M10" i="13" l="1"/>
  <c r="K15" i="10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8" i="10" l="1"/>
  <c r="L15" i="10"/>
  <c r="L18" i="10" s="1"/>
  <c r="M38" i="13"/>
  <c r="M13" i="13"/>
  <c r="N10" i="13"/>
  <c r="N13" i="13" s="1"/>
  <c r="AB10" i="13"/>
  <c r="AC10" i="13" s="1"/>
  <c r="K7" i="10"/>
  <c r="L4" i="10"/>
  <c r="L7" i="10" s="1"/>
  <c r="M13" i="12"/>
  <c r="M38" i="12"/>
  <c r="AB10" i="12"/>
  <c r="AC10" i="12" s="1"/>
  <c r="N10" i="12"/>
  <c r="N13" i="12" s="1"/>
  <c r="N41" i="9"/>
  <c r="N38" i="9"/>
  <c r="J43" i="9"/>
  <c r="K43" i="9" s="1"/>
  <c r="I67" i="9"/>
  <c r="I45" i="9" s="1"/>
  <c r="M41" i="13" l="1"/>
  <c r="N38" i="13"/>
  <c r="AB38" i="13"/>
  <c r="M41" i="12"/>
  <c r="AB38" i="12"/>
  <c r="N38" i="12"/>
  <c r="J44" i="9"/>
  <c r="K44" i="9" s="1"/>
  <c r="AB44" i="13" l="1"/>
  <c r="AC44" i="13" s="1"/>
  <c r="AC38" i="13"/>
  <c r="N41" i="13"/>
  <c r="I69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083C420-B37C-4644-B966-E6A378E3E57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60664FC-A42D-43DE-B578-02041D051A92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D3351DE-C882-41F0-A52E-925236A68D0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FD329D6-04FB-4F34-AA24-27E13C396DB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903C9FD-5DAB-4ACE-84FB-A15A072A4EA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670727D-21F4-4224-B3A4-A8667EC7442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77EF0CB-27A1-4161-899D-4289748852E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BB2FBB5-4BF0-438E-B283-89AB4056FBF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AACCAEF-2ED5-4703-9C2B-4B175F41CBA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186E645-FC3D-4C4B-9660-0A6856F23D4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CBD04AC-E6DC-4C8A-9D09-4F459683AA6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3B92424-ABF6-49B1-AE56-CD93CAD6B61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2ED40D4-0121-493E-8E0C-788EC1B0197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0AB1489-0665-4C81-8E7B-BDA44D8E588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48C1F56-FE89-4CA4-A449-DE2541AA45A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99AA4FB-68CD-4E25-9FD9-A0C14CD91A5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45ACF00-1544-46AC-8480-CBAA0401385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24E2DE3-612C-4613-9146-DEFAD746D07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A027A263-91A4-4117-AAC8-859379F0C6B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D7720767-8956-4213-B422-9C84273B15D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<sst xmlns="http://schemas.openxmlformats.org/spreadsheetml/2006/main" count="699" uniqueCount="302">
  <si>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</si>
  <si>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</si>
  <si>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</si>
  <si>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</si>
  <si>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</si>
  <si>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</si>
  <si>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</si>
  <si>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</si>
  <si>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</si>
  <si>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</si>
  <si>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</si>
  <si>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</si>
  <si>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</si>
  <si>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</si>
  <si>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</si>
  <si>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</si>
  <si>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</si>
  <si>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</si>
  <si>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</si>
  <si>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</si>
  <si>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</si>
  <si>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</si>
  <si>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</si>
  <si>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</si>
  <si>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</si>
  <si>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</si>
  <si>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</si>
  <si>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</si>
  <si>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</si>
  <si>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</si>
  <si>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</si>
  <si>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</si>
  <si>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</si>
  <si>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</si>
  <si>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</si>
  <si>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</si>
  <si>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</si>
  <si>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</si>
  <si>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</si>
  <si>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</si>
  <si>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</si>
  <si>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</si>
  <si>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</si>
  <si>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</si>
  <si>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</si>
  <si>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</si>
  <si>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</si>
  <si>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</si>
  <si>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</si>
  <si>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</si>
  <si>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</si>
  <si>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</si>
  <si>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</si>
  <si>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</si>
  <si>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</si>
  <si>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</si>
  <si>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</si>
  <si>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</si>
  <si>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</si>
  <si>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</si>
  <si>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</si>
  <si>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</si>
  <si>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</si>
  <si>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</si>
  <si>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</si>
  <si>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</si>
  <si>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</si>
  <si>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</si>
  <si>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</si>
  <si>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</si>
  <si>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</si>
  <si>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</si>
  <si>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</si>
  <si>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</si>
  <si>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</si>
  <si>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</si>
  <si>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</si>
  <si>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</si>
  <si>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</si>
  <si>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</si>
  <si>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</si>
  <si>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</si>
  <si>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</si>
  <si>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</si>
  <si>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</si>
  <si>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</si>
  <si>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</si>
  <si>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</si>
  <si>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</si>
  <si>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</si>
  <si>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</si>
  <si>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</si>
  <si>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</si>
  <si>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</si>
  <si>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</si>
  <si>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</si>
  <si>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</si>
  <si>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</si>
  <si>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</si>
  <si>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</si>
  <si>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</si>
  <si>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</si>
  <si>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</si>
  <si>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</si>
  <si>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</si>
  <si>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</si>
  <si>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</si>
  <si>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</si>
  <si>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</si>
  <si>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</si>
  <si>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</si>
  <si>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</si>
  <si>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</si>
  <si>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</si>
  <si>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</si>
  <si>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</si>
  <si>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</si>
  <si>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</si>
  <si>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</si>
  <si>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</si>
  <si>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</si>
  <si>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</si>
  <si>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</si>
  <si>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</si>
  <si>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</si>
  <si>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</si>
  <si>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</si>
  <si>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</si>
  <si>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</si>
  <si>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</si>
  <si>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</si>
  <si>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</si>
  <si>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</si>
  <si>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</si>
  <si>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</si>
  <si>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</si>
  <si>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</si>
  <si>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</si>
  <si>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</si>
  <si>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</si>
  <si>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</si>
  <si>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</si>
  <si>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</si>
  <si>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</si>
  <si>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</si>
  <si>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</si>
  <si>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</si>
  <si>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</si>
  <si>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</si>
  <si>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</si>
  <si>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</si>
  <si>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</si>
  <si>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</si>
  <si>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</si>
  <si>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</si>
  <si>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</si>
  <si>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</si>
  <si>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</si>
  <si>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</si>
  <si>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</si>
  <si>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</si>
  <si>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</si>
  <si>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</si>
  <si>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322</t>
  </si>
  <si>
    <t>0023</t>
  </si>
  <si>
    <t xml:space="preserve">INVESTMENT MANAGER  </t>
  </si>
  <si>
    <t>0349</t>
  </si>
  <si>
    <t>00</t>
  </si>
  <si>
    <t>LABA</t>
  </si>
  <si>
    <t>002</t>
  </si>
  <si>
    <t>20179</t>
  </si>
  <si>
    <t>F</t>
  </si>
  <si>
    <t>NR</t>
  </si>
  <si>
    <t>ANTON, CHRISTIAN J.</t>
  </si>
  <si>
    <t>ANTON</t>
  </si>
  <si>
    <t>CHRISTIAN</t>
  </si>
  <si>
    <t>JOSEPH</t>
  </si>
  <si>
    <t>00000</t>
  </si>
  <si>
    <t>H</t>
  </si>
  <si>
    <t>FS</t>
  </si>
  <si>
    <t>E</t>
  </si>
  <si>
    <t>N</t>
  </si>
  <si>
    <t>Y</t>
  </si>
  <si>
    <t xml:space="preserve">    </t>
  </si>
  <si>
    <t>9999</t>
  </si>
  <si>
    <t xml:space="preserve">GROUP POSITION      </t>
  </si>
  <si>
    <t>90000</t>
  </si>
  <si>
    <t>V</t>
  </si>
  <si>
    <t>NG</t>
  </si>
  <si>
    <t>9998</t>
  </si>
  <si>
    <t xml:space="preserve">OFFICE SPECIALIST 2 </t>
  </si>
  <si>
    <t>01239</t>
  </si>
  <si>
    <t>G</t>
  </si>
  <si>
    <t>9995</t>
  </si>
  <si>
    <t xml:space="preserve">INVESTMENT BOARD    </t>
  </si>
  <si>
    <t>001</t>
  </si>
  <si>
    <t>50180</t>
  </si>
  <si>
    <t>9994</t>
  </si>
  <si>
    <t>0031</t>
  </si>
  <si>
    <t xml:space="preserve">ADMIN ASST 2        </t>
  </si>
  <si>
    <t>0482</t>
  </si>
  <si>
    <t>70</t>
  </si>
  <si>
    <t>01231</t>
  </si>
  <si>
    <t>I</t>
  </si>
  <si>
    <t>CR</t>
  </si>
  <si>
    <t>WIENEKE, ELIZABETH B.</t>
  </si>
  <si>
    <t>WIENEKE</t>
  </si>
  <si>
    <t>ELIZABETH</t>
  </si>
  <si>
    <t>B</t>
  </si>
  <si>
    <t xml:space="preserve">HI   </t>
  </si>
  <si>
    <t>0026</t>
  </si>
  <si>
    <t>ASST INVESTMENT MANA</t>
  </si>
  <si>
    <t>20178</t>
  </si>
  <si>
    <t>HALVORSON, CHRISTOPHER E.</t>
  </si>
  <si>
    <t>HALVORSON</t>
  </si>
  <si>
    <t>CHRISTOPHER</t>
  </si>
  <si>
    <t>0024</t>
  </si>
  <si>
    <t>FINANCIAL SPECIALIST</t>
  </si>
  <si>
    <t>04244</t>
  </si>
  <si>
    <t>M</t>
  </si>
  <si>
    <t xml:space="preserve">VAN VACTOR, KATHLEEN </t>
  </si>
  <si>
    <t>VAN VACTOR</t>
  </si>
  <si>
    <t>KATHLEEN</t>
  </si>
  <si>
    <t xml:space="preserve">              </t>
  </si>
  <si>
    <t xml:space="preserve">HM   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</si>
  <si>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</si>
  <si>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</si>
  <si>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</si>
  <si>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</si>
  <si>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</si>
  <si>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</si>
  <si>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</si>
  <si>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</si>
  <si>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</si>
  <si>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</si>
  <si>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</si>
  <si>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</si>
  <si>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</si>
  <si>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</si>
  <si>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</si>
  <si>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</si>
  <si>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</si>
  <si>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</si>
  <si>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</si>
  <si>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</si>
  <si>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</si>
  <si>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</si>
  <si>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</si>
  <si>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</si>
  <si>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</si>
  <si>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</si>
  <si>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</si>
  <si>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</si>
  <si>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</si>
  <si>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</si>
  <si>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</si>
  <si>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</si>
  <si>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</si>
  <si>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</si>
  <si>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</si>
  <si>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</si>
  <si>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</si>
  <si>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</si>
  <si>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</si>
  <si>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</si>
  <si>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</si>
  <si>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</si>
  <si>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</si>
  <si>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</si>
  <si>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</si>
  <si>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</si>
  <si>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</si>
  <si>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</si>
  <si>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LABA 0349-00</t>
  </si>
  <si>
    <t>LABA 0349</t>
  </si>
  <si>
    <t>Board of Land Commissioners</t>
  </si>
  <si>
    <t>Endowment Fund Investment Board</t>
  </si>
  <si>
    <t>Miscellaneous Revenue</t>
  </si>
  <si>
    <t>0349-00</t>
  </si>
  <si>
    <t>34900</t>
  </si>
  <si>
    <t>Endowment Fund Investment Board, Miscellaneous Revenue   LABA-0349-00</t>
  </si>
  <si>
    <t>LABA 0482-70</t>
  </si>
  <si>
    <t>LABA 0482</t>
  </si>
  <si>
    <t>Endowment Earnings Administrative</t>
  </si>
  <si>
    <t>0482-00</t>
  </si>
  <si>
    <t>48270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</si>
  <si>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</si>
  <si>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</si>
  <si>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</si>
  <si>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</si>
  <si>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</si>
  <si>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</si>
  <si>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</si>
  <si>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Fund-0349</t>
  </si>
  <si>
    <t>0482-70</t>
  </si>
  <si>
    <t>Fund-0482</t>
  </si>
  <si>
    <t>Permanent Total</t>
  </si>
  <si>
    <t>Group</t>
  </si>
  <si>
    <t>Group Total</t>
  </si>
  <si>
    <t>Agency Fund Total</t>
  </si>
  <si>
    <t>LABB</t>
  </si>
  <si>
    <t>Endowment Fund Investment Board, Endowment Earnings Administrative   LABB-0482-00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</si>
</sst>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F913-C8B7-4103-8373-52EAD010982B}">
  <sheetPr>
    <pageSetUpPr fitToPage="1"/>
  </sheetPr>
  <dimension ref="A1:CP80"/>
  <sheetViews>
    <sheetView showGridLines="0" tabSelected="1" zoomScaleNormal="100" workbookViewId="0">
      <selection activeCell="L18" sqref="L18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322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279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276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277</v>
      </c>
      <c r="J5" s="412"/>
      <c r="K5" s="412"/>
      <c r="L5" s="411"/>
      <c r="M5" s="352" t="s">
        <v>113</v>
      </c>
      <c r="N5" s="32" t="s">
        <v>278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"&amp;'LABA|0349-00'!FiscalYear-1&amp;" SALARY"</f>
        <v>FY 2023 SALARY</v>
      </c>
      <c r="H8" s="50" t="str">
        <f>"FY "&amp;'LABA|0349-00'!FiscalYear-1&amp;" HEALTH BENEFITS"</f>
        <v>FY 2023 HEALTH BENEFITS</v>
      </c>
      <c r="I8" s="50" t="str">
        <f>"FY "&amp;'LABA|0349-00'!FiscalYear-1&amp;" VAR BENEFITS"</f>
        <v>FY 2023 VAR BENEFITS</v>
      </c>
      <c r="J8" s="50" t="str">
        <f>"FY "&amp;'LABA|0349-00'!FiscalYear-1&amp;" TOTAL"</f>
        <v>FY 2023 TOTAL</v>
      </c>
      <c r="K8" s="50" t="str">
        <f>"FY "&amp;'LABA|0349-00'!FiscalYear&amp;" SALARY CHANGE"</f>
        <v>FY 2024 SALARY CHANGE</v>
      </c>
      <c r="L8" s="50" t="str">
        <f>"FY "&amp;'LABA|0349-00'!FiscalYear&amp;" CHG HEALTH BENEFITS"</f>
        <v>FY 2024 CHG HEALTH BENEFITS</v>
      </c>
      <c r="M8" s="50" t="str">
        <f>"FY "&amp;'LABA|0349-00'!FiscalYear&amp;"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[0]!LABA034900col_INC_FTI</f>
        <v>0.23</v>
      </c>
      <c r="G10" s="218">
        <f>[0]!LABA034900col_FTI_SALARY_PERM</f>
        <v>54049.63</v>
      </c>
      <c r="H10" s="218">
        <f>[0]!LABA034900col_HEALTH_PERM</f>
        <v>2875</v>
      </c>
      <c r="I10" s="218">
        <f>[0]!LABA034900col_TOT_VB_PERM</f>
        <v>9857.8499573000008</v>
      </c>
      <c r="J10" s="219">
        <f>SUM(G10:I10)</f>
        <v>66782.479957300005</v>
      </c>
      <c r="K10" s="219">
        <f>[0]!LABA034900col_1_27TH_PP</f>
        <v>0</v>
      </c>
      <c r="L10" s="218">
        <f>[0]!LABA034900col_HEALTH_PERM_CHG</f>
        <v>287.5</v>
      </c>
      <c r="M10" s="218">
        <f>[0]!LABA034900col_TOT_VB_PERM_CHG</f>
        <v>-399.5298550000004</v>
      </c>
      <c r="N10" s="218">
        <f>SUM(L10:M10)</f>
        <v>-112.0298550000004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[0]!LABA034900col_Group_Salary</f>
        <v>3100</v>
      </c>
      <c r="H11" s="218">
        <v>0</v>
      </c>
      <c r="I11" s="218">
        <f>[0]!LABA034900col_Group_Ben</f>
        <v>237.35</v>
      </c>
      <c r="J11" s="219">
        <f>SUM(G11:I11)</f>
        <v>3337.35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[0]!LABA034900col_TOTAL_ELECT_PCN_FTI</f>
        <v>0</v>
      </c>
      <c r="G12" s="218">
        <f>[0]!LABA034900col_FTI_SALARY_ELECT</f>
        <v>0</v>
      </c>
      <c r="H12" s="218">
        <f>[0]!LABA034900col_HEALTH_ELECT</f>
        <v>0</v>
      </c>
      <c r="I12" s="218">
        <f>[0]!LABA034900col_TOT_VB_ELECT</f>
        <v>0</v>
      </c>
      <c r="J12" s="219">
        <f>SUM(G12:I12)</f>
        <v>0</v>
      </c>
      <c r="K12" s="268"/>
      <c r="L12" s="218">
        <f>[0]!LABA034900col_HEALTH_ELECT_CHG</f>
        <v>0</v>
      </c>
      <c r="M12" s="218">
        <f>[0]!LABA034900col_TOT_VB_ELECT_CHG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0.23</v>
      </c>
      <c r="G13" s="221">
        <f>SUM(G10:G12)</f>
        <v>57149.63</v>
      </c>
      <c r="H13" s="221">
        <f>SUM(H10:H12)</f>
        <v>2875</v>
      </c>
      <c r="I13" s="221">
        <f>SUM(I10:I12)</f>
        <v>10095.199957300001</v>
      </c>
      <c r="J13" s="219">
        <f>SUM(G13:I13)</f>
        <v>70119.829957299997</v>
      </c>
      <c r="K13" s="268"/>
      <c r="L13" s="219">
        <f>SUM(L10:L12)</f>
        <v>287.5</v>
      </c>
      <c r="M13" s="219">
        <f>SUM(M10:M12)</f>
        <v>-399.5298550000004</v>
      </c>
      <c r="N13" s="219">
        <f>SUM(N10:N12)</f>
        <v>-112.0298550000004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"&amp;'LABA|0349-00'!FiscalYear-1</f>
        <v>FY 2023</v>
      </c>
      <c r="D15" s="158" t="s">
        <v>31</v>
      </c>
      <c r="E15" s="355">
        <v>74900</v>
      </c>
      <c r="F15" s="55">
        <v>0.85</v>
      </c>
      <c r="G15" s="223">
        <f>IF(OrigApprop=0,0,(G13/$J$13)*OrigApprop)</f>
        <v>61045.602786068463</v>
      </c>
      <c r="H15" s="223">
        <f>IF(OrigApprop=0,0,(H13/$J$13)*OrigApprop)</f>
        <v>3070.9929007405099</v>
      </c>
      <c r="I15" s="223">
        <f>IF(G15=0,0,(I13/$J$13)*OrigApprop)</f>
        <v>10783.404313191026</v>
      </c>
      <c r="J15" s="223">
        <f>SUM(G15:I15)</f>
        <v>74900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0.62</v>
      </c>
      <c r="G16" s="162">
        <f>G15-G13</f>
        <v>3895.9727860684652</v>
      </c>
      <c r="H16" s="162">
        <f>H15-H13</f>
        <v>195.99290074050987</v>
      </c>
      <c r="I16" s="162">
        <f>I15-I13</f>
        <v>688.20435589102453</v>
      </c>
      <c r="J16" s="162">
        <f>J15-J13</f>
        <v>4780.1700427000033</v>
      </c>
      <c r="K16" s="269"/>
      <c r="L16" s="56" t="str">
        <f>IF('LABA|0349-00'!OrigApprop=0,"No Original Appropriation amount in DU 3.00 for this fund","Calculated "&amp;IF('LABA|0349-00'!AdjustedTotal&gt;0,"overfunding ","underfunding ")&amp;"is "&amp;TEXT('LABA|0349-00'!AdjustedTotal/'LABA|0349-00'!AppropTotal,"#.0%;(#.0% );0% ;")&amp;" of Original Appropriation")</f>
        <v>Calculated overfunding is 6.4%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0.23</v>
      </c>
      <c r="G38" s="191">
        <f>SUMIF($E10:$E35,$E38,$G10:$G35)</f>
        <v>54049.63</v>
      </c>
      <c r="H38" s="192">
        <f>SUMIF($E10:$E35,$E38,$H10:$H35)</f>
        <v>2875</v>
      </c>
      <c r="I38" s="192">
        <f>SUMIF($E10:$E35,$E38,$I10:$I35)</f>
        <v>9857.8499573000008</v>
      </c>
      <c r="J38" s="192">
        <f>SUM(G38:I38)</f>
        <v>66782.479957300005</v>
      </c>
      <c r="K38" s="166"/>
      <c r="L38" s="191">
        <f>SUMIF($E10:$E35,$E38,$L10:$L35)</f>
        <v>287.5</v>
      </c>
      <c r="M38" s="192">
        <f>SUMIF($E10:$E35,$E38,$M10:$M35)</f>
        <v>-399.5298550000004</v>
      </c>
      <c r="N38" s="192">
        <f>SUM(L38:M38)</f>
        <v>-112.0298550000004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3100</v>
      </c>
      <c r="H39" s="152">
        <f>SUMIF($E10:$E35,$E39,$H10:$H35)</f>
        <v>0</v>
      </c>
      <c r="I39" s="152">
        <f>SUMIF($E10:$E35,$E39,$I10:$I35)</f>
        <v>237.35</v>
      </c>
      <c r="J39" s="152">
        <f>SUM(G39:I39)</f>
        <v>3337.35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0.23</v>
      </c>
      <c r="G41" s="195">
        <f>SUM($G$38:$G$40)</f>
        <v>57149.63</v>
      </c>
      <c r="H41" s="162">
        <f>SUM($H$38:$H$40)</f>
        <v>2875</v>
      </c>
      <c r="I41" s="162">
        <f>SUM($I$38:$I$40)</f>
        <v>10095.199957300001</v>
      </c>
      <c r="J41" s="162">
        <f>SUM($J$38:$J$40)</f>
        <v>70119.829957300011</v>
      </c>
      <c r="K41" s="259"/>
      <c r="L41" s="195">
        <f>SUM($L$38:$L$40)</f>
        <v>287.5</v>
      </c>
      <c r="M41" s="162">
        <f>SUM($M$38:$M$40)</f>
        <v>-399.5298550000004</v>
      </c>
      <c r="N41" s="162">
        <f>SUM(L41:M41)</f>
        <v>-112.0298550000004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0.62</v>
      </c>
      <c r="G43" s="206">
        <f>G51-G41</f>
        <v>3895.9727860684579</v>
      </c>
      <c r="H43" s="159">
        <f>H51-H41</f>
        <v>195.9929007405085</v>
      </c>
      <c r="I43" s="159">
        <f>I51-I41</f>
        <v>688.20435589102271</v>
      </c>
      <c r="J43" s="159">
        <f>SUM(G43:I43)</f>
        <v>4780.1700426999887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6.4%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0.62</v>
      </c>
      <c r="G44" s="206">
        <f>G60-G41</f>
        <v>3850.3700000000026</v>
      </c>
      <c r="H44" s="159">
        <f>H60-H41</f>
        <v>225</v>
      </c>
      <c r="I44" s="159">
        <f>I60-I41</f>
        <v>704.80004269999881</v>
      </c>
      <c r="J44" s="159">
        <f>SUM(G44:I44)</f>
        <v>4780.1700427000014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6.4%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0.62</v>
      </c>
      <c r="G45" s="206">
        <f>G67-G41-G63</f>
        <v>3850.3700000000026</v>
      </c>
      <c r="H45" s="206">
        <f>H67-H41-H63</f>
        <v>225</v>
      </c>
      <c r="I45" s="206">
        <f>I67-I41-I63</f>
        <v>704.80004269999881</v>
      </c>
      <c r="J45" s="159">
        <f>SUM(G45:I45)</f>
        <v>4780.1700427000014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6.4%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74900</v>
      </c>
      <c r="F51" s="272">
        <f>AppropFTP</f>
        <v>0.85</v>
      </c>
      <c r="G51" s="274">
        <f>IF(E51=0,0,(G41/$J$41)*$E$51)</f>
        <v>61045.602786068455</v>
      </c>
      <c r="H51" s="274">
        <f>IF(E51=0,0,(H41/$J$41)*$E$51)</f>
        <v>3070.9929007405085</v>
      </c>
      <c r="I51" s="275">
        <f>IF(E51=0,0,(I41/$J$41)*$E$51)</f>
        <v>10783.404313191024</v>
      </c>
      <c r="J51" s="90">
        <f>SUM(G51:I51)</f>
        <v>74899.999999999985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0.85</v>
      </c>
      <c r="G52" s="79">
        <f>ROUND(G51,-2)</f>
        <v>61000</v>
      </c>
      <c r="H52" s="79">
        <f>ROUND(H51,-2)</f>
        <v>3100</v>
      </c>
      <c r="I52" s="266">
        <f>ROUND(I51,-2)</f>
        <v>10800</v>
      </c>
      <c r="J52" s="80">
        <f>ROUND(J51,-2)</f>
        <v>74900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0.85</v>
      </c>
      <c r="G56" s="80">
        <f>SUM(G52:G55)</f>
        <v>61000</v>
      </c>
      <c r="H56" s="80">
        <f>SUM(H52:H55)</f>
        <v>3100</v>
      </c>
      <c r="I56" s="260">
        <f>SUM(I52:I55)</f>
        <v>10800</v>
      </c>
      <c r="J56" s="80">
        <f>SUM(J52:J55)</f>
        <v>74900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0.85</v>
      </c>
      <c r="G60" s="80">
        <f>SUM(G56:G59)</f>
        <v>61000</v>
      </c>
      <c r="H60" s="80">
        <f>SUM(H56:H59)</f>
        <v>3100</v>
      </c>
      <c r="I60" s="260">
        <f>SUM(I56:I59)</f>
        <v>10800</v>
      </c>
      <c r="J60" s="80">
        <f>SUM(J56:J59)</f>
        <v>74900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0.85</v>
      </c>
      <c r="G67" s="80">
        <f>SUM(G60:G64)</f>
        <v>61000</v>
      </c>
      <c r="H67" s="80">
        <f>SUM(H60:H64)</f>
        <v>3100</v>
      </c>
      <c r="I67" s="80">
        <f>SUM(I60:I64)</f>
        <v>10800</v>
      </c>
      <c r="J67" s="80">
        <f>SUM(J60:J64)</f>
        <v>74900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300</v>
      </c>
      <c r="I68" s="113"/>
      <c r="J68" s="287">
        <f>SUM(G68:I68)</f>
        <v>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-400</v>
      </c>
      <c r="J69" s="287">
        <f>SUM(G69:I69)</f>
        <v>-400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0.85</v>
      </c>
      <c r="G75" s="80">
        <f>SUM(G67:G74)</f>
        <v>61500</v>
      </c>
      <c r="H75" s="80">
        <f>SUM(H67:H74)</f>
        <v>3400</v>
      </c>
      <c r="I75" s="80">
        <f>SUM(I67:I74)</f>
        <v>10500</v>
      </c>
      <c r="J75" s="80">
        <f>SUM(J67:K74)</f>
        <v>75400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0.85</v>
      </c>
      <c r="G80" s="80">
        <f>SUM(G75:G79)</f>
        <v>61500</v>
      </c>
      <c r="H80" s="80">
        <f>SUM(H75:H79)</f>
        <v>3400</v>
      </c>
      <c r="I80" s="80">
        <f>SUM(I75:I79)</f>
        <v>10500</v>
      </c>
      <c r="J80" s="80">
        <f>SUM(J75:J79)</f>
        <v>75400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5" priority="8">
      <formula>$J$44&lt;0</formula>
    </cfRule>
  </conditionalFormatting>
  <conditionalFormatting sqref="K43">
    <cfRule type="expression" dxfId="24" priority="7">
      <formula>$J$43&lt;0</formula>
    </cfRule>
  </conditionalFormatting>
  <conditionalFormatting sqref="L16">
    <cfRule type="expression" dxfId="23" priority="6">
      <formula>$J$16&lt;0</formula>
    </cfRule>
  </conditionalFormatting>
  <conditionalFormatting sqref="K45">
    <cfRule type="expression" dxfId="22" priority="5">
      <formula>$J$44&lt;0</formula>
    </cfRule>
  </conditionalFormatting>
  <conditionalFormatting sqref="K43:N45">
    <cfRule type="containsText" dxfId="21" priority="4" operator="containsText" text="underfunding">
      <formula>NOT(ISERROR(SEARCH("underfunding",K43)))</formula>
    </cfRule>
  </conditionalFormatting>
  <conditionalFormatting sqref="K44">
    <cfRule type="expression" dxfId="20" priority="3">
      <formula>$J$44&lt;0</formula>
    </cfRule>
  </conditionalFormatting>
  <conditionalFormatting sqref="K45">
    <cfRule type="expression" dxfId="19" priority="2">
      <formula>$J$44&lt;0</formula>
    </cfRule>
  </conditionalFormatting>
  <conditionalFormatting sqref="K45">
    <cfRule type="expression" dxfId="1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BB3B58-F65C-47C1-82BE-028C8844E52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E971-4591-427B-B18C-E2A108D2B3EC}">
  <sheetPr>
    <pageSetUpPr fitToPage="1"/>
  </sheetPr>
  <dimension ref="A1:CP80"/>
  <sheetViews>
    <sheetView showGridLines="0" zoomScaleNormal="100" workbookViewId="0">
      <selection activeCell="M3" sqref="M3:N3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322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285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276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300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283</v>
      </c>
      <c r="J5" s="412"/>
      <c r="K5" s="412"/>
      <c r="L5" s="411"/>
      <c r="M5" s="352" t="s">
        <v>113</v>
      </c>
      <c r="N5" s="32" t="s">
        <v>284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"&amp;'LABB|0482-00'!FiscalYear-1&amp;" SALARY"</f>
        <v>FY 2023 SALARY</v>
      </c>
      <c r="H8" s="50" t="str">
        <f>"FY "&amp;'LABB|0482-00'!FiscalYear-1&amp;" HEALTH BENEFITS"</f>
        <v>FY 2023 HEALTH BENEFITS</v>
      </c>
      <c r="I8" s="50" t="str">
        <f>"FY "&amp;'LABB|0482-00'!FiscalYear-1&amp;" VAR BENEFITS"</f>
        <v>FY 2023 VAR BENEFITS</v>
      </c>
      <c r="J8" s="50" t="str">
        <f>"FY "&amp;'LABB|0482-00'!FiscalYear-1&amp;" TOTAL"</f>
        <v>FY 2023 TOTAL</v>
      </c>
      <c r="K8" s="50" t="str">
        <f>"FY "&amp;'LABB|0482-00'!FiscalYear&amp;" SALARY CHANGE"</f>
        <v>FY 2024 SALARY CHANGE</v>
      </c>
      <c r="L8" s="50" t="str">
        <f>"FY "&amp;'LABB|0482-00'!FiscalYear&amp;" CHG HEALTH BENEFITS"</f>
        <v>FY 2024 CHG HEALTH BENEFITS</v>
      </c>
      <c r="M8" s="50" t="str">
        <f>"FY "&amp;'LABB|0482-00'!FiscalYear&amp;"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[0]!LABA048270col_INC_FTI</f>
        <v>3.77</v>
      </c>
      <c r="G10" s="218">
        <f>[0]!LABA048270col_FTI_SALARY_PERM</f>
        <v>418359.96</v>
      </c>
      <c r="H10" s="218">
        <f>[0]!LABA048270col_HEALTH_PERM</f>
        <v>47125</v>
      </c>
      <c r="I10" s="218">
        <f>[0]!LABA048270col_TOT_VB_PERM</f>
        <v>82813.304131600002</v>
      </c>
      <c r="J10" s="219">
        <f>SUM(G10:I10)</f>
        <v>548298.26413160004</v>
      </c>
      <c r="K10" s="219">
        <f>[0]!LABA048270col_1_27TH_PP</f>
        <v>0</v>
      </c>
      <c r="L10" s="218">
        <f>[0]!LABA048270col_HEALTH_PERM_CHG</f>
        <v>4712.5</v>
      </c>
      <c r="M10" s="218">
        <f>[0]!LABA048270col_TOT_VB_PERM_CHG</f>
        <v>-3355.5516600000046</v>
      </c>
      <c r="N10" s="218">
        <f>SUM(L10:M10)</f>
        <v>1356.9483399999954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4200</v>
      </c>
      <c r="AB10" s="335">
        <f>ROUND(PermVarBen*CECPerm+(CECPerm*PermVarBenChg),-2)</f>
        <v>800</v>
      </c>
      <c r="AC10" s="335">
        <f>SUM(AA10:AB10)</f>
        <v>5000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[0]!LABA048270col_Group_Salary</f>
        <v>0</v>
      </c>
      <c r="H11" s="218">
        <v>0</v>
      </c>
      <c r="I11" s="218">
        <f>[0]!LABA048270col_Group_Ben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[0]!LABA048270col_TOTAL_ELECT_PCN_FTI</f>
        <v>0</v>
      </c>
      <c r="G12" s="218">
        <f>[0]!LABA048270col_FTI_SALARY_ELECT</f>
        <v>0</v>
      </c>
      <c r="H12" s="218">
        <f>[0]!LABA048270col_HEALTH_ELECT</f>
        <v>0</v>
      </c>
      <c r="I12" s="218">
        <f>[0]!LABA048270col_TOT_VB_ELECT</f>
        <v>0</v>
      </c>
      <c r="J12" s="219">
        <f>SUM(G12:I12)</f>
        <v>0</v>
      </c>
      <c r="K12" s="268"/>
      <c r="L12" s="218">
        <f>[0]!LABA048270col_HEALTH_ELECT_CHG</f>
        <v>0</v>
      </c>
      <c r="M12" s="218">
        <f>[0]!LABA048270col_TOT_VB_ELECT_CHG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3.77</v>
      </c>
      <c r="G13" s="221">
        <f>SUM(G10:G12)</f>
        <v>418359.96</v>
      </c>
      <c r="H13" s="221">
        <f>SUM(H10:H12)</f>
        <v>47125</v>
      </c>
      <c r="I13" s="221">
        <f>SUM(I10:I12)</f>
        <v>82813.304131600002</v>
      </c>
      <c r="J13" s="219">
        <f>SUM(G13:I13)</f>
        <v>548298.26413160004</v>
      </c>
      <c r="K13" s="268"/>
      <c r="L13" s="219">
        <f>SUM(L10:L12)</f>
        <v>4712.5</v>
      </c>
      <c r="M13" s="219">
        <f>SUM(M10:M12)</f>
        <v>-3355.5516600000046</v>
      </c>
      <c r="N13" s="219">
        <f>SUM(N10:N12)</f>
        <v>1356.9483399999954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"&amp;'LABB|0482-00'!FiscalYear-1</f>
        <v>FY 2023</v>
      </c>
      <c r="D15" s="158" t="s">
        <v>31</v>
      </c>
      <c r="E15" s="355">
        <v>577900</v>
      </c>
      <c r="F15" s="55">
        <v>3.15</v>
      </c>
      <c r="G15" s="223">
        <f>IF(OrigApprop=0,0,(G13/$J$13)*OrigApprop)</f>
        <v>440946.53713142418</v>
      </c>
      <c r="H15" s="223">
        <f>IF(OrigApprop=0,0,(H13/$J$13)*OrigApprop)</f>
        <v>49669.202478933134</v>
      </c>
      <c r="I15" s="223">
        <f>IF(G15=0,0,(I13/$J$13)*OrigApprop)</f>
        <v>87284.260389642659</v>
      </c>
      <c r="J15" s="223">
        <f>SUM(G15:I15)</f>
        <v>577900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-0.62000000000000011</v>
      </c>
      <c r="G16" s="162">
        <f>G15-G13</f>
        <v>22586.577131424157</v>
      </c>
      <c r="H16" s="162">
        <f>H15-H13</f>
        <v>2544.2024789331335</v>
      </c>
      <c r="I16" s="162">
        <f>I15-I13</f>
        <v>4470.9562580426573</v>
      </c>
      <c r="J16" s="162">
        <f>J15-J13</f>
        <v>29601.735868399963</v>
      </c>
      <c r="K16" s="269"/>
      <c r="L16" s="56" t="str">
        <f>IF('LABB|0482-00'!OrigApprop=0,"No Original Appropriation amount in DU 3.00 for this fund","Calculated "&amp;IF('LABB|0482-00'!AdjustedTotal&gt;0,"overfunding ","underfunding ")&amp;"is "&amp;TEXT('LABB|0482-00'!AdjustedTotal/'LABB|0482-00'!AppropTotal,"#.0%;(#.0% );0% ;")&amp;" of Original Appropriation")</f>
        <v>Calculated overfunding is 5.1%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3.77</v>
      </c>
      <c r="G38" s="191">
        <f>SUMIF($E10:$E35,$E38,$G10:$G35)</f>
        <v>418359.96</v>
      </c>
      <c r="H38" s="192">
        <f>SUMIF($E10:$E35,$E38,$H10:$H35)</f>
        <v>47125</v>
      </c>
      <c r="I38" s="192">
        <f>SUMIF($E10:$E35,$E38,$I10:$I35)</f>
        <v>82813.304131600002</v>
      </c>
      <c r="J38" s="192">
        <f>SUM(G38:I38)</f>
        <v>548298.26413160004</v>
      </c>
      <c r="K38" s="166"/>
      <c r="L38" s="191">
        <f>SUMIF($E10:$E35,$E38,$L10:$L35)</f>
        <v>4712.5</v>
      </c>
      <c r="M38" s="192">
        <f>SUMIF($E10:$E35,$E38,$M10:$M35)</f>
        <v>-3355.5516600000046</v>
      </c>
      <c r="N38" s="192">
        <f>SUM(L38:M38)</f>
        <v>1356.9483399999954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4200</v>
      </c>
      <c r="AB38" s="338">
        <f>ROUND((AdjPermVB*CECPerm+AdjPermVBBY*CECPerm),-2)</f>
        <v>800</v>
      </c>
      <c r="AC38" s="338">
        <f>SUM(AA38:AB38)</f>
        <v>5000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3.77</v>
      </c>
      <c r="G41" s="195">
        <f>SUM($G$38:$G$40)</f>
        <v>418359.96</v>
      </c>
      <c r="H41" s="162">
        <f>SUM($H$38:$H$40)</f>
        <v>47125</v>
      </c>
      <c r="I41" s="162">
        <f>SUM($I$38:$I$40)</f>
        <v>82813.304131600002</v>
      </c>
      <c r="J41" s="162">
        <f>SUM($J$38:$J$40)</f>
        <v>548298.26413160004</v>
      </c>
      <c r="K41" s="259"/>
      <c r="L41" s="195">
        <f>SUM($L$38:$L$40)</f>
        <v>4712.5</v>
      </c>
      <c r="M41" s="162">
        <f>SUM($M$38:$M$40)</f>
        <v>-3355.5516600000046</v>
      </c>
      <c r="N41" s="162">
        <f>SUM(L41:M41)</f>
        <v>1356.9483399999954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-0.62</v>
      </c>
      <c r="G43" s="206">
        <f>G51-G41</f>
        <v>22586.577131424157</v>
      </c>
      <c r="H43" s="159">
        <f>H51-H41</f>
        <v>2544.2024789331335</v>
      </c>
      <c r="I43" s="159">
        <f>I51-I41</f>
        <v>4470.9562580426573</v>
      </c>
      <c r="J43" s="159">
        <f>SUM(G43:I43)</f>
        <v>29601.735868399948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5.1%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-0.62</v>
      </c>
      <c r="G44" s="206">
        <f>G60-G41</f>
        <v>22540.039999999979</v>
      </c>
      <c r="H44" s="159">
        <f>H60-H41</f>
        <v>2575</v>
      </c>
      <c r="I44" s="159">
        <f>I60-I41</f>
        <v>4486.6958683999983</v>
      </c>
      <c r="J44" s="159">
        <f>SUM(G44:I44)</f>
        <v>29601.735868399977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5.1%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-0.62</v>
      </c>
      <c r="G45" s="206">
        <f>G67-G41-G63</f>
        <v>22540.039999999979</v>
      </c>
      <c r="H45" s="206">
        <f>H67-H41-H63</f>
        <v>2575</v>
      </c>
      <c r="I45" s="206">
        <f>I67-I41-I63</f>
        <v>4486.6958683999983</v>
      </c>
      <c r="J45" s="159">
        <f>SUM(G45:I45)</f>
        <v>29601.735868399977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5.1%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577900</v>
      </c>
      <c r="F51" s="272">
        <f>AppropFTP</f>
        <v>3.15</v>
      </c>
      <c r="G51" s="274">
        <f>IF(E51=0,0,(G41/$J$41)*$E$51)</f>
        <v>440946.53713142418</v>
      </c>
      <c r="H51" s="274">
        <f>IF(E51=0,0,(H41/$J$41)*$E$51)</f>
        <v>49669.202478933134</v>
      </c>
      <c r="I51" s="275">
        <f>IF(E51=0,0,(I41/$J$41)*$E$51)</f>
        <v>87284.260389642659</v>
      </c>
      <c r="J51" s="90">
        <f>SUM(G51:I51)</f>
        <v>577900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3.15</v>
      </c>
      <c r="G52" s="79">
        <f>ROUND(G51,-2)</f>
        <v>440900</v>
      </c>
      <c r="H52" s="79">
        <f>ROUND(H51,-2)</f>
        <v>49700</v>
      </c>
      <c r="I52" s="266">
        <f>ROUND(I51,-2)</f>
        <v>87300</v>
      </c>
      <c r="J52" s="80">
        <f>ROUND(J51,-2)</f>
        <v>577900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3.15</v>
      </c>
      <c r="G56" s="80">
        <f>SUM(G52:G55)</f>
        <v>440900</v>
      </c>
      <c r="H56" s="80">
        <f>SUM(H52:H55)</f>
        <v>49700</v>
      </c>
      <c r="I56" s="260">
        <f>SUM(I52:I55)</f>
        <v>87300</v>
      </c>
      <c r="J56" s="80">
        <f>SUM(J52:J55)</f>
        <v>577900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3.15</v>
      </c>
      <c r="G60" s="80">
        <f>SUM(G56:G59)</f>
        <v>440900</v>
      </c>
      <c r="H60" s="80">
        <f>SUM(H56:H59)</f>
        <v>49700</v>
      </c>
      <c r="I60" s="260">
        <f>SUM(I56:I59)</f>
        <v>87300</v>
      </c>
      <c r="J60" s="80">
        <f>SUM(J56:J59)</f>
        <v>577900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3.15</v>
      </c>
      <c r="G67" s="80">
        <f>SUM(G60:G64)</f>
        <v>440900</v>
      </c>
      <c r="H67" s="80">
        <f>SUM(H60:H64)</f>
        <v>49700</v>
      </c>
      <c r="I67" s="80">
        <f>SUM(I60:I64)</f>
        <v>87300</v>
      </c>
      <c r="J67" s="80">
        <f>SUM(J60:J64)</f>
        <v>577900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4700</v>
      </c>
      <c r="I68" s="113"/>
      <c r="J68" s="287">
        <f>SUM(G68:I68)</f>
        <v>4700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-3400</v>
      </c>
      <c r="J69" s="287">
        <f>SUM(G69:I69)</f>
        <v>-3400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4200</v>
      </c>
      <c r="H72" s="287"/>
      <c r="I72" s="287">
        <f>ROUND(($G72*PermVBBY+$G72*Retire1BY),-2)</f>
        <v>900</v>
      </c>
      <c r="J72" s="113">
        <f>SUM(G72:I72)</f>
        <v>5100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3.15</v>
      </c>
      <c r="G75" s="80">
        <f>SUM(G67:G74)</f>
        <v>445100</v>
      </c>
      <c r="H75" s="80">
        <f>SUM(H67:H74)</f>
        <v>54400</v>
      </c>
      <c r="I75" s="80">
        <f>SUM(I67:I74)</f>
        <v>84800</v>
      </c>
      <c r="J75" s="80">
        <f>SUM(J67:K74)</f>
        <v>584300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3.15</v>
      </c>
      <c r="G80" s="80">
        <f>SUM(G75:G79)</f>
        <v>445100</v>
      </c>
      <c r="H80" s="80">
        <f>SUM(H75:H79)</f>
        <v>54400</v>
      </c>
      <c r="I80" s="80">
        <f>SUM(I75:I79)</f>
        <v>84800</v>
      </c>
      <c r="J80" s="80">
        <f>SUM(J75:J79)</f>
        <v>584300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7" priority="8">
      <formula>$J$44&lt;0</formula>
    </cfRule>
  </conditionalFormatting>
  <conditionalFormatting sqref="K43">
    <cfRule type="expression" dxfId="16" priority="7">
      <formula>$J$43&lt;0</formula>
    </cfRule>
  </conditionalFormatting>
  <conditionalFormatting sqref="L16">
    <cfRule type="expression" dxfId="15" priority="6">
      <formula>$J$16&lt;0</formula>
    </cfRule>
  </conditionalFormatting>
  <conditionalFormatting sqref="K45">
    <cfRule type="expression" dxfId="14" priority="5">
      <formula>$J$44&lt;0</formula>
    </cfRule>
  </conditionalFormatting>
  <conditionalFormatting sqref="K43:N45">
    <cfRule type="containsText" dxfId="13" priority="4" operator="containsText" text="underfunding">
      <formula>NOT(ISERROR(SEARCH("underfunding",K43)))</formula>
    </cfRule>
  </conditionalFormatting>
  <conditionalFormatting sqref="K44">
    <cfRule type="expression" dxfId="12" priority="3">
      <formula>$J$44&lt;0</formula>
    </cfRule>
  </conditionalFormatting>
  <conditionalFormatting sqref="K45">
    <cfRule type="expression" dxfId="11" priority="2">
      <formula>$J$44&lt;0</formula>
    </cfRule>
  </conditionalFormatting>
  <conditionalFormatting sqref="K45">
    <cfRule type="expression" dxfId="1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108E7-CD99-4807-AE7C-303A626C81C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39"/>
  <sheetViews>
    <sheetView workbookViewId="0">
      <pane xSplit="3" ySplit="1" topLeftCell="AI9" activePane="bottomRight" state="frozen"/>
      <selection pane="topRight" activeCell="D1" sqref="D1"/>
      <selection pane="bottomLeft" activeCell="A2" sqref="A2"/>
      <selection pane="bottomRight" activeCell="AQ22" sqref="AQ22"/>
    </sheetView>
  </sheetViews>
  <sheetFormatPr defaultRowHeight="15" x14ac:dyDescent="0.25"/>
  <cols>
    <col min="45" max="53" width="15.7109375" customWidth="1"/>
    <col min="54" max="54" width="10.85546875" bestFit="1" customWidth="1"/>
    <col min="55" max="55" width="9.28515625" bestFit="1" customWidth="1"/>
    <col min="56" max="56" width="10.85546875" bestFit="1" customWidth="1"/>
    <col min="57" max="57" width="9.7109375" bestFit="1" customWidth="1"/>
    <col min="58" max="58" width="10.85546875" bestFit="1" customWidth="1"/>
    <col min="59" max="59" width="9.7109375" bestFit="1" customWidth="1"/>
    <col min="60" max="61" width="9.28515625" bestFit="1" customWidth="1"/>
    <col min="62" max="62" width="9.7109375" bestFit="1" customWidth="1"/>
    <col min="63" max="63" width="9.28515625" bestFit="1" customWidth="1"/>
    <col min="64" max="64" width="10.85546875" bestFit="1" customWidth="1"/>
    <col min="65" max="65" width="9.28515625" bestFit="1" customWidth="1"/>
    <col min="66" max="66" width="10.85546875" bestFit="1" customWidth="1"/>
    <col min="67" max="67" width="9.28515625" bestFit="1" customWidth="1"/>
    <col min="68" max="68" width="10.85546875" bestFit="1" customWidth="1"/>
    <col min="69" max="69" width="9.7109375" bestFit="1" customWidth="1"/>
    <col min="70" max="70" width="10.85546875" bestFit="1" customWidth="1"/>
    <col min="71" max="71" width="9.71093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0.85546875" bestFit="1" customWidth="1"/>
    <col min="77" max="77" width="9.28515625" bestFit="1" customWidth="1"/>
    <col min="78" max="78" width="9.7109375" bestFit="1" customWidth="1"/>
    <col min="79" max="81" width="9.28515625" bestFit="1" customWidth="1"/>
    <col min="82" max="82" width="10.42578125" bestFit="1" customWidth="1"/>
    <col min="83" max="87" width="9.28515625" bestFit="1" customWidth="1"/>
    <col min="88" max="88" width="10.42578125" bestFit="1" customWidth="1"/>
    <col min="89" max="89" width="9.28515625" bestFit="1" customWidth="1"/>
    <col min="90" max="90" width="9.7109375" bestFit="1" customWidth="1"/>
    <col min="91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225</v>
      </c>
      <c r="AT1" s="387" t="s">
        <v>226</v>
      </c>
      <c r="AU1" s="387" t="s">
        <v>227</v>
      </c>
      <c r="AV1" s="387" t="s">
        <v>228</v>
      </c>
      <c r="AW1" s="387" t="s">
        <v>229</v>
      </c>
      <c r="AX1" s="387" t="s">
        <v>230</v>
      </c>
      <c r="AY1" s="387" t="s">
        <v>231</v>
      </c>
      <c r="AZ1" s="387" t="s">
        <v>232</v>
      </c>
      <c r="BA1" s="389" t="s">
        <v>233</v>
      </c>
      <c r="BB1" s="390" t="s">
        <v>234</v>
      </c>
      <c r="BC1" s="390" t="s">
        <v>235</v>
      </c>
      <c r="BD1" s="390" t="s">
        <v>236</v>
      </c>
      <c r="BE1" s="390" t="s">
        <v>237</v>
      </c>
      <c r="BF1" s="390" t="s">
        <v>238</v>
      </c>
      <c r="BG1" s="390" t="s">
        <v>239</v>
      </c>
      <c r="BH1" s="390" t="s">
        <v>240</v>
      </c>
      <c r="BI1" s="390" t="s">
        <v>241</v>
      </c>
      <c r="BJ1" s="390" t="s">
        <v>242</v>
      </c>
      <c r="BK1" s="390" t="s">
        <v>243</v>
      </c>
      <c r="BL1" s="391" t="s">
        <v>244</v>
      </c>
      <c r="BM1" s="391" t="s">
        <v>245</v>
      </c>
      <c r="BN1" s="390" t="s">
        <v>246</v>
      </c>
      <c r="BO1" s="390" t="s">
        <v>247</v>
      </c>
      <c r="BP1" s="390" t="s">
        <v>248</v>
      </c>
      <c r="BQ1" s="390" t="s">
        <v>249</v>
      </c>
      <c r="BR1" s="390" t="s">
        <v>250</v>
      </c>
      <c r="BS1" s="390" t="s">
        <v>251</v>
      </c>
      <c r="BT1" s="390" t="s">
        <v>252</v>
      </c>
      <c r="BU1" s="390" t="s">
        <v>253</v>
      </c>
      <c r="BV1" s="390" t="s">
        <v>254</v>
      </c>
      <c r="BW1" s="390" t="s">
        <v>255</v>
      </c>
      <c r="BX1" s="391" t="s">
        <v>256</v>
      </c>
      <c r="BY1" s="391" t="s">
        <v>257</v>
      </c>
      <c r="BZ1" s="390" t="s">
        <v>258</v>
      </c>
      <c r="CA1" s="390" t="s">
        <v>259</v>
      </c>
      <c r="CB1" s="390" t="s">
        <v>260</v>
      </c>
      <c r="CC1" s="390" t="s">
        <v>261</v>
      </c>
      <c r="CD1" s="390" t="s">
        <v>262</v>
      </c>
      <c r="CE1" s="390" t="s">
        <v>263</v>
      </c>
      <c r="CF1" s="390" t="s">
        <v>264</v>
      </c>
      <c r="CG1" s="390" t="s">
        <v>265</v>
      </c>
      <c r="CH1" s="390" t="s">
        <v>266</v>
      </c>
      <c r="CI1" s="390" t="s">
        <v>267</v>
      </c>
      <c r="CJ1" s="391" t="s">
        <v>268</v>
      </c>
      <c r="CK1" s="391" t="s">
        <v>269</v>
      </c>
      <c r="CL1" s="392" t="s">
        <v>270</v>
      </c>
      <c r="CM1" s="392" t="s">
        <v>271</v>
      </c>
      <c r="CN1" s="392" t="s">
        <v>272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167</v>
      </c>
      <c r="M2" s="377" t="s">
        <v>171</v>
      </c>
      <c r="N2" s="377" t="s">
        <v>172</v>
      </c>
      <c r="O2" s="380">
        <v>1</v>
      </c>
      <c r="P2" s="386">
        <v>0.23</v>
      </c>
      <c r="Q2" s="386">
        <v>0.23</v>
      </c>
      <c r="R2" s="381">
        <v>80</v>
      </c>
      <c r="S2" s="386">
        <v>0.23</v>
      </c>
      <c r="T2" s="381">
        <v>53299.93</v>
      </c>
      <c r="U2" s="381">
        <v>0</v>
      </c>
      <c r="V2" s="381">
        <v>13054.63</v>
      </c>
      <c r="W2" s="381">
        <v>54049.63</v>
      </c>
      <c r="X2" s="381">
        <v>12732.84</v>
      </c>
      <c r="Y2" s="381">
        <v>54049.63</v>
      </c>
      <c r="Z2" s="381">
        <v>12620.81</v>
      </c>
      <c r="AA2" s="377" t="s">
        <v>173</v>
      </c>
      <c r="AB2" s="377" t="s">
        <v>174</v>
      </c>
      <c r="AC2" s="377" t="s">
        <v>175</v>
      </c>
      <c r="AD2" s="377" t="s">
        <v>176</v>
      </c>
      <c r="AE2" s="377" t="s">
        <v>170</v>
      </c>
      <c r="AF2" s="377" t="s">
        <v>177</v>
      </c>
      <c r="AG2" s="377" t="s">
        <v>178</v>
      </c>
      <c r="AH2" s="382">
        <v>112.98</v>
      </c>
      <c r="AI2" s="380">
        <v>20320</v>
      </c>
      <c r="AJ2" s="377" t="s">
        <v>179</v>
      </c>
      <c r="AK2" s="377" t="s">
        <v>180</v>
      </c>
      <c r="AL2" s="377" t="s">
        <v>181</v>
      </c>
      <c r="AM2" s="377" t="s">
        <v>182</v>
      </c>
      <c r="AN2" s="377" t="s">
        <v>66</v>
      </c>
      <c r="AO2" s="380">
        <v>80</v>
      </c>
      <c r="AP2" s="386">
        <v>1</v>
      </c>
      <c r="AQ2" s="386">
        <v>0.23</v>
      </c>
      <c r="AR2" s="384" t="s">
        <v>183</v>
      </c>
      <c r="AS2" s="388">
        <f>IF(((AO2/80)*AP2*P2)&gt;1,AQ2,((AO2/80)*AP2*P2))</f>
        <v>0.23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IF(AT2=0,"",IF(AND(AT2=1,M2="F",SUMIF(C2:C12,C2,AS2:AS12)&lt;=1),SUMIF(C2:C12,C2,AS2:AS12),IF(AND(AT2=1,M2="F",SUMIF(C2:C12,C2,AS2:AS12)&gt;1),1,"")))</f>
        <v>1</v>
      </c>
      <c r="AV2" s="388" t="str">
        <f>IF(AT2=0,"",IF(AND(AT2=3,M2="F",SUMIF(C2:C12,C2,AS2:AS12)&lt;=1),SUMIF(C2:C12,C2,AS2:AS12),IF(AND(AT2=3,M2="F",SUMIF(C2:C12,C2,AS2:AS12)&gt;1),1,"")))</f>
        <v/>
      </c>
      <c r="AW2" s="388">
        <f>SUMIF(C2:C12,C2,O2:O12)</f>
        <v>2</v>
      </c>
      <c r="AX2" s="388">
        <f>IF(AND(M2="F",AS2&lt;&gt;0),SUMIF(C2:C12,C2,W2:W12),0)</f>
        <v>234998.39</v>
      </c>
      <c r="AY2" s="388">
        <f>IF(AT2=1,W2,"")</f>
        <v>54049.63</v>
      </c>
      <c r="AZ2" s="388" t="str">
        <f>IF(AT2=3,W2,"")</f>
        <v/>
      </c>
      <c r="BA2" s="388">
        <f>IF(AT2=1,Y2-W2,0)</f>
        <v>0</v>
      </c>
      <c r="BB2" s="388">
        <f t="shared" ref="BB2:BB12" si="0">IF(AND(AT2=1,AK2="E",AU2&gt;=0.75,AW2=1),Health,IF(AND(AT2=1,AK2="E",AU2&gt;=0.75),Health*P2,IF(AND(AT2=1,AK2="E",AU2&gt;=0.5,AW2=1),PTHealth,IF(AND(AT2=1,AK2="E",AU2&gt;=0.5),PTHealth*P2,0))))</f>
        <v>2875</v>
      </c>
      <c r="BC2" s="388">
        <f t="shared" ref="BC2:BC12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12" si="2">IF(AND(AT2&lt;&gt;0,AX2&gt;=MAXSSDI),SSDI*MAXSSDI*P2,IF(AT2&lt;&gt;0,SSDI*W2,0))</f>
        <v>2036.3280000000002</v>
      </c>
      <c r="BE2" s="388">
        <f t="shared" ref="BE2:BE12" si="3">IF(AT2&lt;&gt;0,SSHI*W2,0)</f>
        <v>783.71963500000004</v>
      </c>
      <c r="BF2" s="388">
        <f t="shared" ref="BF2:BF12" si="4">IF(AND(AT2&lt;&gt;0,AN2&lt;&gt;"NE"),VLOOKUP(AN2,Retirement_Rates,3,FALSE)*W2,0)</f>
        <v>6453.5258219999996</v>
      </c>
      <c r="BG2" s="388">
        <f t="shared" ref="BG2:BG12" si="5">IF(AND(AT2&lt;&gt;0,AJ2&lt;&gt;"PF"),Life*W2,0)</f>
        <v>389.69783230000002</v>
      </c>
      <c r="BH2" s="388">
        <f t="shared" ref="BH2:BH12" si="6">IF(AND(AT2&lt;&gt;0,AM2="Y"),UI*W2,0)</f>
        <v>0</v>
      </c>
      <c r="BI2" s="388">
        <f t="shared" ref="BI2:BI12" si="7">IF(AND(AT2&lt;&gt;0,N2&lt;&gt;"NR"),DHR*W2,0)</f>
        <v>0</v>
      </c>
      <c r="BJ2" s="388">
        <f t="shared" ref="BJ2:BJ12" si="8">IF(AT2&lt;&gt;0,WC*W2,0)</f>
        <v>194.57866799999999</v>
      </c>
      <c r="BK2" s="388">
        <f t="shared" ref="BK2:BK12" si="9">IF(OR(AND(AT2&lt;&gt;0,AJ2&lt;&gt;"PF",AN2&lt;&gt;"NE",AG2&lt;&gt;"A"),AND(AL2="E",OR(AT2=1,AT2=3))),Sick*W2,0)</f>
        <v>0</v>
      </c>
      <c r="BL2" s="388">
        <f>IF(AT2=1,SUM(BD2:BK2),0)</f>
        <v>9857.8499573000008</v>
      </c>
      <c r="BM2" s="388">
        <f>IF(AT2=3,SUM(BD2:BK2),0)</f>
        <v>0</v>
      </c>
      <c r="BN2" s="388">
        <f t="shared" ref="BN2:BN12" si="10">IF(AND(AT2=1,AK2="E",AU2&gt;=0.75,AW2=1),HealthBY,IF(AND(AT2=1,AK2="E",AU2&gt;=0.75),HealthBY*P2,IF(AND(AT2=1,AK2="E",AU2&gt;=0.5,AW2=1),PTHealthBY,IF(AND(AT2=1,AK2="E",AU2&gt;=0.5),PTHealthBY*P2,0))))</f>
        <v>3162.5</v>
      </c>
      <c r="BO2" s="388">
        <f t="shared" ref="BO2:BO12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12" si="12">IF(AND(AT2&lt;&gt;0,(AX2+BA2)&gt;=MAXSSDIBY),SSDIBY*MAXSSDIBY*P2,IF(AT2&lt;&gt;0,SSDIBY*W2,0))</f>
        <v>2096.2200000000003</v>
      </c>
      <c r="BQ2" s="388">
        <f t="shared" ref="BQ2:BQ12" si="13">IF(AT2&lt;&gt;0,SSHIBY*W2,0)</f>
        <v>783.71963500000004</v>
      </c>
      <c r="BR2" s="388">
        <f t="shared" ref="BR2:BR12" si="14">IF(AND(AT2&lt;&gt;0,AN2&lt;&gt;"NE"),VLOOKUP(AN2,Retirement_Rates,4,FALSE)*W2,0)</f>
        <v>6042.7486339999996</v>
      </c>
      <c r="BS2" s="388">
        <f t="shared" ref="BS2:BS12" si="15">IF(AND(AT2&lt;&gt;0,AJ2&lt;&gt;"PF"),LifeBY*W2,0)</f>
        <v>389.69783230000002</v>
      </c>
      <c r="BT2" s="388">
        <f t="shared" ref="BT2:BT12" si="16">IF(AND(AT2&lt;&gt;0,AM2="Y"),UIBY*W2,0)</f>
        <v>0</v>
      </c>
      <c r="BU2" s="388">
        <f t="shared" ref="BU2:BU12" si="17">IF(AND(AT2&lt;&gt;0,N2&lt;&gt;"NR"),DHRBY*W2,0)</f>
        <v>0</v>
      </c>
      <c r="BV2" s="388">
        <f t="shared" ref="BV2:BV12" si="18">IF(AT2&lt;&gt;0,WCBY*W2,0)</f>
        <v>145.93400099999999</v>
      </c>
      <c r="BW2" s="388">
        <f t="shared" ref="BW2:BW12" si="19">IF(OR(AND(AT2&lt;&gt;0,AJ2&lt;&gt;"PF",AN2&lt;&gt;"NE",AG2&lt;&gt;"A"),AND(AL2="E",OR(AT2=1,AT2=3))),SickBY*W2,0)</f>
        <v>0</v>
      </c>
      <c r="BX2" s="388">
        <f>IF(AT2=1,SUM(BP2:BW2),0)</f>
        <v>9458.3201023000001</v>
      </c>
      <c r="BY2" s="388">
        <f>IF(AT2=3,SUM(BP2:BW2),0)</f>
        <v>0</v>
      </c>
      <c r="BZ2" s="388">
        <f>IF(AT2=1,BN2-BB2,0)</f>
        <v>287.5</v>
      </c>
      <c r="CA2" s="388">
        <f>IF(AT2=3,BO2-BC2,0)</f>
        <v>0</v>
      </c>
      <c r="CB2" s="388">
        <f>BP2-BD2</f>
        <v>59.892000000000053</v>
      </c>
      <c r="CC2" s="388">
        <f t="shared" ref="CC2:CC12" si="20">IF(AT2&lt;&gt;0,SSHICHG*Y2,0)</f>
        <v>0</v>
      </c>
      <c r="CD2" s="388">
        <f t="shared" ref="CD2:CD12" si="21">IF(AND(AT2&lt;&gt;0,AN2&lt;&gt;"NE"),VLOOKUP(AN2,Retirement_Rates,5,FALSE)*Y2,0)</f>
        <v>-410.77718800000048</v>
      </c>
      <c r="CE2" s="388">
        <f t="shared" ref="CE2:CE12" si="22">IF(AND(AT2&lt;&gt;0,AJ2&lt;&gt;"PF"),LifeCHG*Y2,0)</f>
        <v>0</v>
      </c>
      <c r="CF2" s="388">
        <f t="shared" ref="CF2:CF12" si="23">IF(AND(AT2&lt;&gt;0,AM2="Y"),UICHG*Y2,0)</f>
        <v>0</v>
      </c>
      <c r="CG2" s="388">
        <f t="shared" ref="CG2:CG12" si="24">IF(AND(AT2&lt;&gt;0,N2&lt;&gt;"NR"),DHRCHG*Y2,0)</f>
        <v>0</v>
      </c>
      <c r="CH2" s="388">
        <f t="shared" ref="CH2:CH12" si="25">IF(AT2&lt;&gt;0,WCCHG*Y2,0)</f>
        <v>-48.644666999999984</v>
      </c>
      <c r="CI2" s="388">
        <f t="shared" ref="CI2:CI12" si="26">IF(OR(AND(AT2&lt;&gt;0,AJ2&lt;&gt;"PF",AN2&lt;&gt;"NE",AG2&lt;&gt;"A"),AND(AL2="E",OR(AT2=1,AT2=3))),SickCHG*Y2,0)</f>
        <v>0</v>
      </c>
      <c r="CJ2" s="388">
        <f>IF(AT2=1,SUM(CB2:CI2),0)</f>
        <v>-399.5298550000004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0349-00</v>
      </c>
    </row>
    <row r="3" spans="1:92" ht="15.75" thickBot="1" x14ac:dyDescent="0.3">
      <c r="A3" s="377" t="s">
        <v>162</v>
      </c>
      <c r="B3" s="377" t="s">
        <v>163</v>
      </c>
      <c r="C3" s="377" t="s">
        <v>184</v>
      </c>
      <c r="D3" s="377" t="s">
        <v>185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186</v>
      </c>
      <c r="L3" s="377" t="s">
        <v>167</v>
      </c>
      <c r="M3" s="377" t="s">
        <v>187</v>
      </c>
      <c r="N3" s="377" t="s">
        <v>188</v>
      </c>
      <c r="O3" s="380">
        <v>0</v>
      </c>
      <c r="P3" s="386">
        <v>0.36</v>
      </c>
      <c r="Q3" s="386">
        <v>0</v>
      </c>
      <c r="R3" s="381">
        <v>0</v>
      </c>
      <c r="S3" s="386">
        <v>0</v>
      </c>
      <c r="T3" s="381">
        <v>0</v>
      </c>
      <c r="U3" s="381">
        <v>0</v>
      </c>
      <c r="V3" s="381">
        <v>0</v>
      </c>
      <c r="W3" s="381">
        <v>0</v>
      </c>
      <c r="X3" s="381">
        <v>0</v>
      </c>
      <c r="Y3" s="381">
        <v>0</v>
      </c>
      <c r="Z3" s="381">
        <v>0</v>
      </c>
      <c r="AA3" s="379"/>
      <c r="AB3" s="377" t="s">
        <v>45</v>
      </c>
      <c r="AC3" s="377" t="s">
        <v>45</v>
      </c>
      <c r="AD3" s="379"/>
      <c r="AE3" s="379"/>
      <c r="AF3" s="379"/>
      <c r="AG3" s="379"/>
      <c r="AH3" s="380">
        <v>0</v>
      </c>
      <c r="AI3" s="380">
        <v>0</v>
      </c>
      <c r="AJ3" s="379"/>
      <c r="AK3" s="379"/>
      <c r="AL3" s="377" t="s">
        <v>181</v>
      </c>
      <c r="AM3" s="379"/>
      <c r="AN3" s="379"/>
      <c r="AO3" s="380">
        <v>0</v>
      </c>
      <c r="AP3" s="386">
        <v>0</v>
      </c>
      <c r="AQ3" s="386">
        <v>0</v>
      </c>
      <c r="AR3" s="385"/>
      <c r="AS3" s="388">
        <f t="shared" ref="AS3:AS12" si="27">IF(((AO3/80)*AP3*P3)&gt;1,AQ3,((AO3/80)*AP3*P3))</f>
        <v>0</v>
      </c>
      <c r="AT3">
        <f t="shared" ref="AT3:AT12" si="28">IF(AND(M3="F",N3&lt;&gt;"NG",AS3&lt;&gt;0,AND(AR3&lt;&gt;6,AR3&lt;&gt;36,AR3&lt;&gt;56),AG3&lt;&gt;"A",OR(AG3="H",AJ3="FS")),1,IF(AND(M3="F",N3&lt;&gt;"NG",AS3&lt;&gt;0,AG3="A"),3,0))</f>
        <v>0</v>
      </c>
      <c r="AU3" s="388" t="str">
        <f>IF(AT3=0,"",IF(AND(AT3=1,M3="F",SUMIF(C2:C12,C3,AS2:AS12)&lt;=1),SUMIF(C2:C12,C3,AS2:AS12),IF(AND(AT3=1,M3="F",SUMIF(C2:C12,C3,AS2:AS12)&gt;1),1,"")))</f>
        <v/>
      </c>
      <c r="AV3" s="388" t="str">
        <f>IF(AT3=0,"",IF(AND(AT3=3,M3="F",SUMIF(C2:C12,C3,AS2:AS12)&lt;=1),SUMIF(C2:C12,C3,AS2:AS12),IF(AND(AT3=3,M3="F",SUMIF(C2:C12,C3,AS2:AS12)&gt;1),1,"")))</f>
        <v/>
      </c>
      <c r="AW3" s="388">
        <f>SUMIF(C2:C12,C3,O2:O12)</f>
        <v>0</v>
      </c>
      <c r="AX3" s="388">
        <f>IF(AND(M3="F",AS3&lt;&gt;0),SUMIF(C2:C12,C3,W2:W12),0)</f>
        <v>0</v>
      </c>
      <c r="AY3" s="388" t="str">
        <f t="shared" ref="AY3:AY12" si="29">IF(AT3=1,W3,"")</f>
        <v/>
      </c>
      <c r="AZ3" s="388" t="str">
        <f t="shared" ref="AZ3:AZ12" si="30">IF(AT3=3,W3,"")</f>
        <v/>
      </c>
      <c r="BA3" s="388">
        <f t="shared" ref="BA3:BA12" si="31">IF(AT3=1,Y3-W3,0)</f>
        <v>0</v>
      </c>
      <c r="BB3" s="388">
        <f t="shared" si="0"/>
        <v>0</v>
      </c>
      <c r="BC3" s="388">
        <f t="shared" si="1"/>
        <v>0</v>
      </c>
      <c r="BD3" s="388">
        <f t="shared" si="2"/>
        <v>0</v>
      </c>
      <c r="BE3" s="388">
        <f t="shared" si="3"/>
        <v>0</v>
      </c>
      <c r="BF3" s="388">
        <f t="shared" si="4"/>
        <v>0</v>
      </c>
      <c r="BG3" s="388">
        <f t="shared" si="5"/>
        <v>0</v>
      </c>
      <c r="BH3" s="388">
        <f t="shared" si="6"/>
        <v>0</v>
      </c>
      <c r="BI3" s="388">
        <f t="shared" si="7"/>
        <v>0</v>
      </c>
      <c r="BJ3" s="388">
        <f t="shared" si="8"/>
        <v>0</v>
      </c>
      <c r="BK3" s="388">
        <f t="shared" si="9"/>
        <v>0</v>
      </c>
      <c r="BL3" s="388">
        <f t="shared" ref="BL3:BL12" si="32">IF(AT3=1,SUM(BD3:BK3),0)</f>
        <v>0</v>
      </c>
      <c r="BM3" s="388">
        <f t="shared" ref="BM3:BM12" si="33">IF(AT3=3,SUM(BD3:BK3),0)</f>
        <v>0</v>
      </c>
      <c r="BN3" s="388">
        <f t="shared" si="10"/>
        <v>0</v>
      </c>
      <c r="BO3" s="388">
        <f t="shared" si="11"/>
        <v>0</v>
      </c>
      <c r="BP3" s="388">
        <f t="shared" si="12"/>
        <v>0</v>
      </c>
      <c r="BQ3" s="388">
        <f t="shared" si="13"/>
        <v>0</v>
      </c>
      <c r="BR3" s="388">
        <f t="shared" si="14"/>
        <v>0</v>
      </c>
      <c r="BS3" s="388">
        <f t="shared" si="15"/>
        <v>0</v>
      </c>
      <c r="BT3" s="388">
        <f t="shared" si="16"/>
        <v>0</v>
      </c>
      <c r="BU3" s="388">
        <f t="shared" si="17"/>
        <v>0</v>
      </c>
      <c r="BV3" s="388">
        <f t="shared" si="18"/>
        <v>0</v>
      </c>
      <c r="BW3" s="388">
        <f t="shared" si="19"/>
        <v>0</v>
      </c>
      <c r="BX3" s="388">
        <f t="shared" ref="BX3:BX12" si="34">IF(AT3=1,SUM(BP3:BW3),0)</f>
        <v>0</v>
      </c>
      <c r="BY3" s="388">
        <f t="shared" ref="BY3:BY12" si="35">IF(AT3=3,SUM(BP3:BW3),0)</f>
        <v>0</v>
      </c>
      <c r="BZ3" s="388">
        <f t="shared" ref="BZ3:BZ12" si="36">IF(AT3=1,BN3-BB3,0)</f>
        <v>0</v>
      </c>
      <c r="CA3" s="388">
        <f t="shared" ref="CA3:CA12" si="37">IF(AT3=3,BO3-BC3,0)</f>
        <v>0</v>
      </c>
      <c r="CB3" s="388">
        <f t="shared" ref="CB3:CB12" si="38">BP3-BD3</f>
        <v>0</v>
      </c>
      <c r="CC3" s="388">
        <f t="shared" si="20"/>
        <v>0</v>
      </c>
      <c r="CD3" s="388">
        <f t="shared" si="21"/>
        <v>0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0</v>
      </c>
      <c r="CI3" s="388">
        <f t="shared" si="26"/>
        <v>0</v>
      </c>
      <c r="CJ3" s="388">
        <f t="shared" ref="CJ3:CJ12" si="39">IF(AT3=1,SUM(CB3:CI3),0)</f>
        <v>0</v>
      </c>
      <c r="CK3" s="388" t="str">
        <f t="shared" ref="CK3:CK12" si="40">IF(AT3=3,SUM(CB3:CI3),"")</f>
        <v/>
      </c>
      <c r="CL3" s="388">
        <f t="shared" ref="CL3:CL12" si="41">IF(OR(N3="NG",AG3="D"),(T3+U3),"")</f>
        <v>0</v>
      </c>
      <c r="CM3" s="388">
        <f t="shared" ref="CM3:CM12" si="42">IF(OR(N3="NG",AG3="D"),V3,"")</f>
        <v>0</v>
      </c>
      <c r="CN3" s="388" t="str">
        <f t="shared" ref="CN3:CN12" si="43">E3 &amp; "-" &amp; F3</f>
        <v>0349-00</v>
      </c>
    </row>
    <row r="4" spans="1:92" ht="15.75" thickBot="1" x14ac:dyDescent="0.3">
      <c r="A4" s="377" t="s">
        <v>162</v>
      </c>
      <c r="B4" s="377" t="s">
        <v>163</v>
      </c>
      <c r="C4" s="377" t="s">
        <v>189</v>
      </c>
      <c r="D4" s="377" t="s">
        <v>190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191</v>
      </c>
      <c r="L4" s="377" t="s">
        <v>192</v>
      </c>
      <c r="M4" s="377" t="s">
        <v>187</v>
      </c>
      <c r="N4" s="377" t="s">
        <v>188</v>
      </c>
      <c r="O4" s="380">
        <v>0</v>
      </c>
      <c r="P4" s="386">
        <v>0.3</v>
      </c>
      <c r="Q4" s="386">
        <v>0</v>
      </c>
      <c r="R4" s="381">
        <v>0</v>
      </c>
      <c r="S4" s="386">
        <v>0</v>
      </c>
      <c r="T4" s="381">
        <v>0</v>
      </c>
      <c r="U4" s="381">
        <v>0</v>
      </c>
      <c r="V4" s="381">
        <v>0</v>
      </c>
      <c r="W4" s="381">
        <v>0</v>
      </c>
      <c r="X4" s="381">
        <v>0</v>
      </c>
      <c r="Y4" s="381">
        <v>0</v>
      </c>
      <c r="Z4" s="381">
        <v>0</v>
      </c>
      <c r="AA4" s="379"/>
      <c r="AB4" s="377" t="s">
        <v>45</v>
      </c>
      <c r="AC4" s="377" t="s">
        <v>45</v>
      </c>
      <c r="AD4" s="379"/>
      <c r="AE4" s="379"/>
      <c r="AF4" s="379"/>
      <c r="AG4" s="379"/>
      <c r="AH4" s="380">
        <v>0</v>
      </c>
      <c r="AI4" s="380">
        <v>0</v>
      </c>
      <c r="AJ4" s="379"/>
      <c r="AK4" s="379"/>
      <c r="AL4" s="377" t="s">
        <v>181</v>
      </c>
      <c r="AM4" s="379"/>
      <c r="AN4" s="379"/>
      <c r="AO4" s="380">
        <v>0</v>
      </c>
      <c r="AP4" s="386">
        <v>0</v>
      </c>
      <c r="AQ4" s="386">
        <v>0</v>
      </c>
      <c r="AR4" s="385"/>
      <c r="AS4" s="388">
        <f t="shared" si="27"/>
        <v>0</v>
      </c>
      <c r="AT4">
        <f t="shared" si="28"/>
        <v>0</v>
      </c>
      <c r="AU4" s="388" t="str">
        <f>IF(AT4=0,"",IF(AND(AT4=1,M4="F",SUMIF(C2:C12,C4,AS2:AS12)&lt;=1),SUMIF(C2:C12,C4,AS2:AS12),IF(AND(AT4=1,M4="F",SUMIF(C2:C12,C4,AS2:AS12)&gt;1),1,"")))</f>
        <v/>
      </c>
      <c r="AV4" s="388" t="str">
        <f>IF(AT4=0,"",IF(AND(AT4=3,M4="F",SUMIF(C2:C12,C4,AS2:AS12)&lt;=1),SUMIF(C2:C12,C4,AS2:AS12),IF(AND(AT4=3,M4="F",SUMIF(C2:C12,C4,AS2:AS12)&gt;1),1,"")))</f>
        <v/>
      </c>
      <c r="AW4" s="388">
        <f>SUMIF(C2:C12,C4,O2:O12)</f>
        <v>0</v>
      </c>
      <c r="AX4" s="388">
        <f>IF(AND(M4="F",AS4&lt;&gt;0),SUMIF(C2:C12,C4,W2:W12),0)</f>
        <v>0</v>
      </c>
      <c r="AY4" s="388" t="str">
        <f t="shared" si="29"/>
        <v/>
      </c>
      <c r="AZ4" s="388" t="str">
        <f t="shared" si="30"/>
        <v/>
      </c>
      <c r="BA4" s="388">
        <f t="shared" si="31"/>
        <v>0</v>
      </c>
      <c r="BB4" s="388">
        <f t="shared" si="0"/>
        <v>0</v>
      </c>
      <c r="BC4" s="388">
        <f t="shared" si="1"/>
        <v>0</v>
      </c>
      <c r="BD4" s="388">
        <f t="shared" si="2"/>
        <v>0</v>
      </c>
      <c r="BE4" s="388">
        <f t="shared" si="3"/>
        <v>0</v>
      </c>
      <c r="BF4" s="388">
        <f t="shared" si="4"/>
        <v>0</v>
      </c>
      <c r="BG4" s="388">
        <f t="shared" si="5"/>
        <v>0</v>
      </c>
      <c r="BH4" s="388">
        <f t="shared" si="6"/>
        <v>0</v>
      </c>
      <c r="BI4" s="388">
        <f t="shared" si="7"/>
        <v>0</v>
      </c>
      <c r="BJ4" s="388">
        <f t="shared" si="8"/>
        <v>0</v>
      </c>
      <c r="BK4" s="388">
        <f t="shared" si="9"/>
        <v>0</v>
      </c>
      <c r="BL4" s="388">
        <f t="shared" si="32"/>
        <v>0</v>
      </c>
      <c r="BM4" s="388">
        <f t="shared" si="33"/>
        <v>0</v>
      </c>
      <c r="BN4" s="388">
        <f t="shared" si="10"/>
        <v>0</v>
      </c>
      <c r="BO4" s="388">
        <f t="shared" si="11"/>
        <v>0</v>
      </c>
      <c r="BP4" s="388">
        <f t="shared" si="12"/>
        <v>0</v>
      </c>
      <c r="BQ4" s="388">
        <f t="shared" si="13"/>
        <v>0</v>
      </c>
      <c r="BR4" s="388">
        <f t="shared" si="14"/>
        <v>0</v>
      </c>
      <c r="BS4" s="388">
        <f t="shared" si="15"/>
        <v>0</v>
      </c>
      <c r="BT4" s="388">
        <f t="shared" si="16"/>
        <v>0</v>
      </c>
      <c r="BU4" s="388">
        <f t="shared" si="17"/>
        <v>0</v>
      </c>
      <c r="BV4" s="388">
        <f t="shared" si="18"/>
        <v>0</v>
      </c>
      <c r="BW4" s="388">
        <f t="shared" si="19"/>
        <v>0</v>
      </c>
      <c r="BX4" s="388">
        <f t="shared" si="34"/>
        <v>0</v>
      </c>
      <c r="BY4" s="388">
        <f t="shared" si="35"/>
        <v>0</v>
      </c>
      <c r="BZ4" s="388">
        <f t="shared" si="36"/>
        <v>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0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0</v>
      </c>
      <c r="CI4" s="388">
        <f t="shared" si="26"/>
        <v>0</v>
      </c>
      <c r="CJ4" s="388">
        <f t="shared" si="39"/>
        <v>0</v>
      </c>
      <c r="CK4" s="388" t="str">
        <f t="shared" si="40"/>
        <v/>
      </c>
      <c r="CL4" s="388">
        <f t="shared" si="41"/>
        <v>0</v>
      </c>
      <c r="CM4" s="388">
        <f t="shared" si="42"/>
        <v>0</v>
      </c>
      <c r="CN4" s="388" t="str">
        <f t="shared" si="43"/>
        <v>0349-00</v>
      </c>
    </row>
    <row r="5" spans="1:92" ht="15.75" thickBot="1" x14ac:dyDescent="0.3">
      <c r="A5" s="377" t="s">
        <v>162</v>
      </c>
      <c r="B5" s="377" t="s">
        <v>163</v>
      </c>
      <c r="C5" s="377" t="s">
        <v>193</v>
      </c>
      <c r="D5" s="377" t="s">
        <v>194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195</v>
      </c>
      <c r="K5" s="377" t="s">
        <v>196</v>
      </c>
      <c r="L5" s="377" t="s">
        <v>167</v>
      </c>
      <c r="M5" s="377" t="s">
        <v>187</v>
      </c>
      <c r="N5" s="377" t="s">
        <v>188</v>
      </c>
      <c r="O5" s="380">
        <v>0</v>
      </c>
      <c r="P5" s="386">
        <v>1</v>
      </c>
      <c r="Q5" s="386">
        <v>0</v>
      </c>
      <c r="R5" s="381">
        <v>0</v>
      </c>
      <c r="S5" s="386">
        <v>0</v>
      </c>
      <c r="T5" s="381">
        <v>0</v>
      </c>
      <c r="U5" s="381">
        <v>0</v>
      </c>
      <c r="V5" s="381">
        <v>0</v>
      </c>
      <c r="W5" s="381">
        <v>0</v>
      </c>
      <c r="X5" s="381">
        <v>0</v>
      </c>
      <c r="Y5" s="381">
        <v>0</v>
      </c>
      <c r="Z5" s="381">
        <v>0</v>
      </c>
      <c r="AA5" s="379"/>
      <c r="AB5" s="377" t="s">
        <v>45</v>
      </c>
      <c r="AC5" s="377" t="s">
        <v>45</v>
      </c>
      <c r="AD5" s="379"/>
      <c r="AE5" s="379"/>
      <c r="AF5" s="379"/>
      <c r="AG5" s="379"/>
      <c r="AH5" s="380">
        <v>0</v>
      </c>
      <c r="AI5" s="380">
        <v>0</v>
      </c>
      <c r="AJ5" s="379"/>
      <c r="AK5" s="379"/>
      <c r="AL5" s="377" t="s">
        <v>181</v>
      </c>
      <c r="AM5" s="379"/>
      <c r="AN5" s="379"/>
      <c r="AO5" s="380">
        <v>0</v>
      </c>
      <c r="AP5" s="386">
        <v>0</v>
      </c>
      <c r="AQ5" s="386">
        <v>0</v>
      </c>
      <c r="AR5" s="385"/>
      <c r="AS5" s="388">
        <f t="shared" si="27"/>
        <v>0</v>
      </c>
      <c r="AT5">
        <f t="shared" si="28"/>
        <v>0</v>
      </c>
      <c r="AU5" s="388" t="str">
        <f>IF(AT5=0,"",IF(AND(AT5=1,M5="F",SUMIF(C2:C12,C5,AS2:AS12)&lt;=1),SUMIF(C2:C12,C5,AS2:AS12),IF(AND(AT5=1,M5="F",SUMIF(C2:C12,C5,AS2:AS12)&gt;1),1,"")))</f>
        <v/>
      </c>
      <c r="AV5" s="388" t="str">
        <f>IF(AT5=0,"",IF(AND(AT5=3,M5="F",SUMIF(C2:C12,C5,AS2:AS12)&lt;=1),SUMIF(C2:C12,C5,AS2:AS12),IF(AND(AT5=3,M5="F",SUMIF(C2:C12,C5,AS2:AS12)&gt;1),1,"")))</f>
        <v/>
      </c>
      <c r="AW5" s="388">
        <f>SUMIF(C2:C12,C5,O2:O12)</f>
        <v>0</v>
      </c>
      <c r="AX5" s="388">
        <f>IF(AND(M5="F",AS5&lt;&gt;0),SUMIF(C2:C12,C5,W2:W12),0)</f>
        <v>0</v>
      </c>
      <c r="AY5" s="388" t="str">
        <f t="shared" si="29"/>
        <v/>
      </c>
      <c r="AZ5" s="388" t="str">
        <f t="shared" si="30"/>
        <v/>
      </c>
      <c r="BA5" s="388">
        <f t="shared" si="31"/>
        <v>0</v>
      </c>
      <c r="BB5" s="388">
        <f t="shared" si="0"/>
        <v>0</v>
      </c>
      <c r="BC5" s="388">
        <f t="shared" si="1"/>
        <v>0</v>
      </c>
      <c r="BD5" s="388">
        <f t="shared" si="2"/>
        <v>0</v>
      </c>
      <c r="BE5" s="388">
        <f t="shared" si="3"/>
        <v>0</v>
      </c>
      <c r="BF5" s="388">
        <f t="shared" si="4"/>
        <v>0</v>
      </c>
      <c r="BG5" s="388">
        <f t="shared" si="5"/>
        <v>0</v>
      </c>
      <c r="BH5" s="388">
        <f t="shared" si="6"/>
        <v>0</v>
      </c>
      <c r="BI5" s="388">
        <f t="shared" si="7"/>
        <v>0</v>
      </c>
      <c r="BJ5" s="388">
        <f t="shared" si="8"/>
        <v>0</v>
      </c>
      <c r="BK5" s="388">
        <f t="shared" si="9"/>
        <v>0</v>
      </c>
      <c r="BL5" s="388">
        <f t="shared" si="32"/>
        <v>0</v>
      </c>
      <c r="BM5" s="388">
        <f t="shared" si="33"/>
        <v>0</v>
      </c>
      <c r="BN5" s="388">
        <f t="shared" si="10"/>
        <v>0</v>
      </c>
      <c r="BO5" s="388">
        <f t="shared" si="11"/>
        <v>0</v>
      </c>
      <c r="BP5" s="388">
        <f t="shared" si="12"/>
        <v>0</v>
      </c>
      <c r="BQ5" s="388">
        <f t="shared" si="13"/>
        <v>0</v>
      </c>
      <c r="BR5" s="388">
        <f t="shared" si="14"/>
        <v>0</v>
      </c>
      <c r="BS5" s="388">
        <f t="shared" si="15"/>
        <v>0</v>
      </c>
      <c r="BT5" s="388">
        <f t="shared" si="16"/>
        <v>0</v>
      </c>
      <c r="BU5" s="388">
        <f t="shared" si="17"/>
        <v>0</v>
      </c>
      <c r="BV5" s="388">
        <f t="shared" si="18"/>
        <v>0</v>
      </c>
      <c r="BW5" s="388">
        <f t="shared" si="19"/>
        <v>0</v>
      </c>
      <c r="BX5" s="388">
        <f t="shared" si="34"/>
        <v>0</v>
      </c>
      <c r="BY5" s="388">
        <f t="shared" si="35"/>
        <v>0</v>
      </c>
      <c r="BZ5" s="388">
        <f t="shared" si="36"/>
        <v>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0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0</v>
      </c>
      <c r="CI5" s="388">
        <f t="shared" si="26"/>
        <v>0</v>
      </c>
      <c r="CJ5" s="388">
        <f t="shared" si="39"/>
        <v>0</v>
      </c>
      <c r="CK5" s="388" t="str">
        <f t="shared" si="40"/>
        <v/>
      </c>
      <c r="CL5" s="388">
        <f t="shared" si="41"/>
        <v>0</v>
      </c>
      <c r="CM5" s="388">
        <f t="shared" si="42"/>
        <v>0</v>
      </c>
      <c r="CN5" s="388" t="str">
        <f t="shared" si="43"/>
        <v>0349-00</v>
      </c>
    </row>
    <row r="6" spans="1:92" ht="15.75" thickBot="1" x14ac:dyDescent="0.3">
      <c r="A6" s="377" t="s">
        <v>162</v>
      </c>
      <c r="B6" s="377" t="s">
        <v>163</v>
      </c>
      <c r="C6" s="377" t="s">
        <v>197</v>
      </c>
      <c r="D6" s="377" t="s">
        <v>194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195</v>
      </c>
      <c r="K6" s="377" t="s">
        <v>196</v>
      </c>
      <c r="L6" s="377" t="s">
        <v>167</v>
      </c>
      <c r="M6" s="377" t="s">
        <v>171</v>
      </c>
      <c r="N6" s="377" t="s">
        <v>188</v>
      </c>
      <c r="O6" s="380">
        <v>0</v>
      </c>
      <c r="P6" s="386">
        <v>1</v>
      </c>
      <c r="Q6" s="386">
        <v>0</v>
      </c>
      <c r="R6" s="381">
        <v>0</v>
      </c>
      <c r="S6" s="386">
        <v>0</v>
      </c>
      <c r="T6" s="381">
        <v>3100</v>
      </c>
      <c r="U6" s="381">
        <v>0</v>
      </c>
      <c r="V6" s="381">
        <v>237.35</v>
      </c>
      <c r="W6" s="381">
        <v>3100</v>
      </c>
      <c r="X6" s="381">
        <v>237.35</v>
      </c>
      <c r="Y6" s="381">
        <v>3100</v>
      </c>
      <c r="Z6" s="381">
        <v>237.35</v>
      </c>
      <c r="AA6" s="379"/>
      <c r="AB6" s="377" t="s">
        <v>45</v>
      </c>
      <c r="AC6" s="377" t="s">
        <v>45</v>
      </c>
      <c r="AD6" s="379"/>
      <c r="AE6" s="379"/>
      <c r="AF6" s="379"/>
      <c r="AG6" s="379"/>
      <c r="AH6" s="380">
        <v>0</v>
      </c>
      <c r="AI6" s="380">
        <v>0</v>
      </c>
      <c r="AJ6" s="379"/>
      <c r="AK6" s="379"/>
      <c r="AL6" s="377" t="s">
        <v>181</v>
      </c>
      <c r="AM6" s="379"/>
      <c r="AN6" s="379"/>
      <c r="AO6" s="380">
        <v>0</v>
      </c>
      <c r="AP6" s="386">
        <v>0</v>
      </c>
      <c r="AQ6" s="386">
        <v>0</v>
      </c>
      <c r="AR6" s="385"/>
      <c r="AS6" s="388">
        <f t="shared" si="27"/>
        <v>0</v>
      </c>
      <c r="AT6">
        <f t="shared" si="28"/>
        <v>0</v>
      </c>
      <c r="AU6" s="388" t="str">
        <f>IF(AT6=0,"",IF(AND(AT6=1,M6="F",SUMIF(C2:C12,C6,AS2:AS12)&lt;=1),SUMIF(C2:C12,C6,AS2:AS12),IF(AND(AT6=1,M6="F",SUMIF(C2:C12,C6,AS2:AS12)&gt;1),1,"")))</f>
        <v/>
      </c>
      <c r="AV6" s="388" t="str">
        <f>IF(AT6=0,"",IF(AND(AT6=3,M6="F",SUMIF(C2:C12,C6,AS2:AS12)&lt;=1),SUMIF(C2:C12,C6,AS2:AS12),IF(AND(AT6=3,M6="F",SUMIF(C2:C12,C6,AS2:AS12)&gt;1),1,"")))</f>
        <v/>
      </c>
      <c r="AW6" s="388">
        <f>SUMIF(C2:C12,C6,O2:O12)</f>
        <v>0</v>
      </c>
      <c r="AX6" s="388">
        <f>IF(AND(M6="F",AS6&lt;&gt;0),SUMIF(C2:C12,C6,W2:W12),0)</f>
        <v>0</v>
      </c>
      <c r="AY6" s="388" t="str">
        <f t="shared" si="29"/>
        <v/>
      </c>
      <c r="AZ6" s="388" t="str">
        <f t="shared" si="30"/>
        <v/>
      </c>
      <c r="BA6" s="388">
        <f t="shared" si="31"/>
        <v>0</v>
      </c>
      <c r="BB6" s="388">
        <f t="shared" si="0"/>
        <v>0</v>
      </c>
      <c r="BC6" s="388">
        <f t="shared" si="1"/>
        <v>0</v>
      </c>
      <c r="BD6" s="388">
        <f t="shared" si="2"/>
        <v>0</v>
      </c>
      <c r="BE6" s="388">
        <f t="shared" si="3"/>
        <v>0</v>
      </c>
      <c r="BF6" s="388">
        <f t="shared" si="4"/>
        <v>0</v>
      </c>
      <c r="BG6" s="388">
        <f t="shared" si="5"/>
        <v>0</v>
      </c>
      <c r="BH6" s="388">
        <f t="shared" si="6"/>
        <v>0</v>
      </c>
      <c r="BI6" s="388">
        <f t="shared" si="7"/>
        <v>0</v>
      </c>
      <c r="BJ6" s="388">
        <f t="shared" si="8"/>
        <v>0</v>
      </c>
      <c r="BK6" s="388">
        <f t="shared" si="9"/>
        <v>0</v>
      </c>
      <c r="BL6" s="388">
        <f t="shared" si="32"/>
        <v>0</v>
      </c>
      <c r="BM6" s="388">
        <f t="shared" si="33"/>
        <v>0</v>
      </c>
      <c r="BN6" s="388">
        <f t="shared" si="10"/>
        <v>0</v>
      </c>
      <c r="BO6" s="388">
        <f t="shared" si="11"/>
        <v>0</v>
      </c>
      <c r="BP6" s="388">
        <f t="shared" si="12"/>
        <v>0</v>
      </c>
      <c r="BQ6" s="388">
        <f t="shared" si="13"/>
        <v>0</v>
      </c>
      <c r="BR6" s="388">
        <f t="shared" si="14"/>
        <v>0</v>
      </c>
      <c r="BS6" s="388">
        <f t="shared" si="15"/>
        <v>0</v>
      </c>
      <c r="BT6" s="388">
        <f t="shared" si="16"/>
        <v>0</v>
      </c>
      <c r="BU6" s="388">
        <f t="shared" si="17"/>
        <v>0</v>
      </c>
      <c r="BV6" s="388">
        <f t="shared" si="18"/>
        <v>0</v>
      </c>
      <c r="BW6" s="388">
        <f t="shared" si="19"/>
        <v>0</v>
      </c>
      <c r="BX6" s="388">
        <f t="shared" si="34"/>
        <v>0</v>
      </c>
      <c r="BY6" s="388">
        <f t="shared" si="35"/>
        <v>0</v>
      </c>
      <c r="BZ6" s="388">
        <f t="shared" si="36"/>
        <v>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0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0</v>
      </c>
      <c r="CI6" s="388">
        <f t="shared" si="26"/>
        <v>0</v>
      </c>
      <c r="CJ6" s="388">
        <f t="shared" si="39"/>
        <v>0</v>
      </c>
      <c r="CK6" s="388" t="str">
        <f t="shared" si="40"/>
        <v/>
      </c>
      <c r="CL6" s="388">
        <f t="shared" si="41"/>
        <v>3100</v>
      </c>
      <c r="CM6" s="388">
        <f t="shared" si="42"/>
        <v>237.35</v>
      </c>
      <c r="CN6" s="388" t="str">
        <f t="shared" si="43"/>
        <v>0349-00</v>
      </c>
    </row>
    <row r="7" spans="1:92" ht="15.75" thickBot="1" x14ac:dyDescent="0.3">
      <c r="A7" s="377" t="s">
        <v>162</v>
      </c>
      <c r="B7" s="377" t="s">
        <v>163</v>
      </c>
      <c r="C7" s="377" t="s">
        <v>198</v>
      </c>
      <c r="D7" s="377" t="s">
        <v>199</v>
      </c>
      <c r="E7" s="377" t="s">
        <v>200</v>
      </c>
      <c r="F7" s="383" t="s">
        <v>201</v>
      </c>
      <c r="G7" s="377" t="s">
        <v>168</v>
      </c>
      <c r="H7" s="379"/>
      <c r="I7" s="379"/>
      <c r="J7" s="377" t="s">
        <v>195</v>
      </c>
      <c r="K7" s="377" t="s">
        <v>202</v>
      </c>
      <c r="L7" s="377" t="s">
        <v>203</v>
      </c>
      <c r="M7" s="377" t="s">
        <v>171</v>
      </c>
      <c r="N7" s="377" t="s">
        <v>204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51490.83</v>
      </c>
      <c r="U7" s="381">
        <v>293.39999999999998</v>
      </c>
      <c r="V7" s="381">
        <v>22685.599999999999</v>
      </c>
      <c r="W7" s="381">
        <v>55494.400000000001</v>
      </c>
      <c r="X7" s="381">
        <v>24278.65</v>
      </c>
      <c r="Y7" s="381">
        <v>55494.400000000001</v>
      </c>
      <c r="Z7" s="381">
        <v>25056.95</v>
      </c>
      <c r="AA7" s="377" t="s">
        <v>205</v>
      </c>
      <c r="AB7" s="377" t="s">
        <v>206</v>
      </c>
      <c r="AC7" s="377" t="s">
        <v>207</v>
      </c>
      <c r="AD7" s="377" t="s">
        <v>208</v>
      </c>
      <c r="AE7" s="377" t="s">
        <v>202</v>
      </c>
      <c r="AF7" s="377" t="s">
        <v>209</v>
      </c>
      <c r="AG7" s="377" t="s">
        <v>178</v>
      </c>
      <c r="AH7" s="382">
        <v>26.68</v>
      </c>
      <c r="AI7" s="382">
        <v>32583.1</v>
      </c>
      <c r="AJ7" s="377" t="s">
        <v>179</v>
      </c>
      <c r="AK7" s="377" t="s">
        <v>180</v>
      </c>
      <c r="AL7" s="377" t="s">
        <v>181</v>
      </c>
      <c r="AM7" s="377" t="s">
        <v>182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183</v>
      </c>
      <c r="AS7" s="388">
        <f t="shared" si="27"/>
        <v>1</v>
      </c>
      <c r="AT7">
        <f t="shared" si="28"/>
        <v>1</v>
      </c>
      <c r="AU7" s="388">
        <f>IF(AT7=0,"",IF(AND(AT7=1,M7="F",SUMIF(C2:C12,C7,AS2:AS12)&lt;=1),SUMIF(C2:C12,C7,AS2:AS12),IF(AND(AT7=1,M7="F",SUMIF(C2:C12,C7,AS2:AS12)&gt;1),1,"")))</f>
        <v>1</v>
      </c>
      <c r="AV7" s="388" t="str">
        <f>IF(AT7=0,"",IF(AND(AT7=3,M7="F",SUMIF(C2:C12,C7,AS2:AS12)&lt;=1),SUMIF(C2:C12,C7,AS2:AS12),IF(AND(AT7=3,M7="F",SUMIF(C2:C12,C7,AS2:AS12)&gt;1),1,"")))</f>
        <v/>
      </c>
      <c r="AW7" s="388">
        <f>SUMIF(C2:C12,C7,O2:O12)</f>
        <v>1</v>
      </c>
      <c r="AX7" s="388">
        <f>IF(AND(M7="F",AS7&lt;&gt;0),SUMIF(C2:C12,C7,W2:W12),0)</f>
        <v>55494.400000000001</v>
      </c>
      <c r="AY7" s="388">
        <f t="shared" si="29"/>
        <v>55494.400000000001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3440.6527999999998</v>
      </c>
      <c r="BE7" s="388">
        <f t="shared" si="3"/>
        <v>804.66880000000003</v>
      </c>
      <c r="BF7" s="388">
        <f t="shared" si="4"/>
        <v>6626.0313600000009</v>
      </c>
      <c r="BG7" s="388">
        <f t="shared" si="5"/>
        <v>400.11462400000005</v>
      </c>
      <c r="BH7" s="388">
        <f t="shared" si="6"/>
        <v>0</v>
      </c>
      <c r="BI7" s="388">
        <f t="shared" si="7"/>
        <v>307.16150399999998</v>
      </c>
      <c r="BJ7" s="388">
        <f t="shared" si="8"/>
        <v>199.77984000000001</v>
      </c>
      <c r="BK7" s="388">
        <f t="shared" si="9"/>
        <v>0</v>
      </c>
      <c r="BL7" s="388">
        <f t="shared" si="32"/>
        <v>11778.408927999999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3440.6527999999998</v>
      </c>
      <c r="BQ7" s="388">
        <f t="shared" si="13"/>
        <v>804.66880000000003</v>
      </c>
      <c r="BR7" s="388">
        <f t="shared" si="14"/>
        <v>6204.2739199999996</v>
      </c>
      <c r="BS7" s="388">
        <f t="shared" si="15"/>
        <v>400.11462400000005</v>
      </c>
      <c r="BT7" s="388">
        <f t="shared" si="16"/>
        <v>0</v>
      </c>
      <c r="BU7" s="388">
        <f t="shared" si="17"/>
        <v>307.16150399999998</v>
      </c>
      <c r="BV7" s="388">
        <f t="shared" si="18"/>
        <v>149.83488</v>
      </c>
      <c r="BW7" s="388">
        <f t="shared" si="19"/>
        <v>0</v>
      </c>
      <c r="BX7" s="388">
        <f t="shared" si="34"/>
        <v>11306.706527999999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-421.75744000000054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-49.944959999999988</v>
      </c>
      <c r="CI7" s="388">
        <f t="shared" si="26"/>
        <v>0</v>
      </c>
      <c r="CJ7" s="388">
        <f t="shared" si="39"/>
        <v>-471.70240000000052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0482-70</v>
      </c>
    </row>
    <row r="8" spans="1:92" ht="15.75" thickBot="1" x14ac:dyDescent="0.3">
      <c r="A8" s="377" t="s">
        <v>162</v>
      </c>
      <c r="B8" s="377" t="s">
        <v>163</v>
      </c>
      <c r="C8" s="377" t="s">
        <v>210</v>
      </c>
      <c r="D8" s="377" t="s">
        <v>211</v>
      </c>
      <c r="E8" s="377" t="s">
        <v>200</v>
      </c>
      <c r="F8" s="383" t="s">
        <v>201</v>
      </c>
      <c r="G8" s="377" t="s">
        <v>168</v>
      </c>
      <c r="H8" s="379"/>
      <c r="I8" s="379"/>
      <c r="J8" s="377" t="s">
        <v>195</v>
      </c>
      <c r="K8" s="377" t="s">
        <v>212</v>
      </c>
      <c r="L8" s="377" t="s">
        <v>167</v>
      </c>
      <c r="M8" s="377" t="s">
        <v>171</v>
      </c>
      <c r="N8" s="377" t="s">
        <v>172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99163.199999999997</v>
      </c>
      <c r="U8" s="381">
        <v>0</v>
      </c>
      <c r="V8" s="381">
        <v>32520.06</v>
      </c>
      <c r="W8" s="381">
        <v>104499.2</v>
      </c>
      <c r="X8" s="381">
        <v>34101</v>
      </c>
      <c r="Y8" s="381">
        <v>104499.2</v>
      </c>
      <c r="Z8" s="381">
        <v>34462.76</v>
      </c>
      <c r="AA8" s="377" t="s">
        <v>213</v>
      </c>
      <c r="AB8" s="377" t="s">
        <v>214</v>
      </c>
      <c r="AC8" s="377" t="s">
        <v>215</v>
      </c>
      <c r="AD8" s="377" t="s">
        <v>180</v>
      </c>
      <c r="AE8" s="377" t="s">
        <v>212</v>
      </c>
      <c r="AF8" s="377" t="s">
        <v>177</v>
      </c>
      <c r="AG8" s="377" t="s">
        <v>178</v>
      </c>
      <c r="AH8" s="382">
        <v>50.24</v>
      </c>
      <c r="AI8" s="380">
        <v>33746</v>
      </c>
      <c r="AJ8" s="377" t="s">
        <v>179</v>
      </c>
      <c r="AK8" s="377" t="s">
        <v>180</v>
      </c>
      <c r="AL8" s="377" t="s">
        <v>181</v>
      </c>
      <c r="AM8" s="377" t="s">
        <v>182</v>
      </c>
      <c r="AN8" s="377" t="s">
        <v>66</v>
      </c>
      <c r="AO8" s="380">
        <v>80</v>
      </c>
      <c r="AP8" s="386">
        <v>1</v>
      </c>
      <c r="AQ8" s="386">
        <v>1</v>
      </c>
      <c r="AR8" s="384" t="s">
        <v>183</v>
      </c>
      <c r="AS8" s="388">
        <f t="shared" si="27"/>
        <v>1</v>
      </c>
      <c r="AT8">
        <f t="shared" si="28"/>
        <v>1</v>
      </c>
      <c r="AU8" s="388">
        <f>IF(AT8=0,"",IF(AND(AT8=1,M8="F",SUMIF(C2:C12,C8,AS2:AS12)&lt;=1),SUMIF(C2:C12,C8,AS2:AS12),IF(AND(AT8=1,M8="F",SUMIF(C2:C12,C8,AS2:AS12)&gt;1),1,"")))</f>
        <v>1</v>
      </c>
      <c r="AV8" s="388" t="str">
        <f>IF(AT8=0,"",IF(AND(AT8=3,M8="F",SUMIF(C2:C12,C8,AS2:AS12)&lt;=1),SUMIF(C2:C12,C8,AS2:AS12),IF(AND(AT8=3,M8="F",SUMIF(C2:C12,C8,AS2:AS12)&gt;1),1,"")))</f>
        <v/>
      </c>
      <c r="AW8" s="388">
        <f>SUMIF(C2:C12,C8,O2:O12)</f>
        <v>1</v>
      </c>
      <c r="AX8" s="388">
        <f>IF(AND(M8="F",AS8&lt;&gt;0),SUMIF(C2:C12,C8,W2:W12),0)</f>
        <v>104499.2</v>
      </c>
      <c r="AY8" s="388">
        <f t="shared" si="29"/>
        <v>104499.2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6478.9503999999997</v>
      </c>
      <c r="BE8" s="388">
        <f t="shared" si="3"/>
        <v>1515.2384</v>
      </c>
      <c r="BF8" s="388">
        <f t="shared" si="4"/>
        <v>12477.20448</v>
      </c>
      <c r="BG8" s="388">
        <f t="shared" si="5"/>
        <v>753.43923200000006</v>
      </c>
      <c r="BH8" s="388">
        <f t="shared" si="6"/>
        <v>0</v>
      </c>
      <c r="BI8" s="388">
        <f t="shared" si="7"/>
        <v>0</v>
      </c>
      <c r="BJ8" s="388">
        <f t="shared" si="8"/>
        <v>376.19711999999998</v>
      </c>
      <c r="BK8" s="388">
        <f t="shared" si="9"/>
        <v>0</v>
      </c>
      <c r="BL8" s="388">
        <f t="shared" si="32"/>
        <v>21601.029632000002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6478.9503999999997</v>
      </c>
      <c r="BQ8" s="388">
        <f t="shared" si="13"/>
        <v>1515.2384</v>
      </c>
      <c r="BR8" s="388">
        <f t="shared" si="14"/>
        <v>11683.010559999999</v>
      </c>
      <c r="BS8" s="388">
        <f t="shared" si="15"/>
        <v>753.43923200000006</v>
      </c>
      <c r="BT8" s="388">
        <f t="shared" si="16"/>
        <v>0</v>
      </c>
      <c r="BU8" s="388">
        <f t="shared" si="17"/>
        <v>0</v>
      </c>
      <c r="BV8" s="388">
        <f t="shared" si="18"/>
        <v>282.14784000000003</v>
      </c>
      <c r="BW8" s="388">
        <f t="shared" si="19"/>
        <v>0</v>
      </c>
      <c r="BX8" s="388">
        <f t="shared" si="34"/>
        <v>20712.786432000001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-794.19392000000096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-94.049279999999968</v>
      </c>
      <c r="CI8" s="388">
        <f t="shared" si="26"/>
        <v>0</v>
      </c>
      <c r="CJ8" s="388">
        <f t="shared" si="39"/>
        <v>-888.24320000000091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0482-70</v>
      </c>
    </row>
    <row r="9" spans="1:92" ht="15.75" thickBot="1" x14ac:dyDescent="0.3">
      <c r="A9" s="377" t="s">
        <v>162</v>
      </c>
      <c r="B9" s="377" t="s">
        <v>163</v>
      </c>
      <c r="C9" s="377" t="s">
        <v>216</v>
      </c>
      <c r="D9" s="377" t="s">
        <v>217</v>
      </c>
      <c r="E9" s="377" t="s">
        <v>200</v>
      </c>
      <c r="F9" s="383" t="s">
        <v>201</v>
      </c>
      <c r="G9" s="377" t="s">
        <v>168</v>
      </c>
      <c r="H9" s="379"/>
      <c r="I9" s="379"/>
      <c r="J9" s="377" t="s">
        <v>195</v>
      </c>
      <c r="K9" s="377" t="s">
        <v>218</v>
      </c>
      <c r="L9" s="377" t="s">
        <v>219</v>
      </c>
      <c r="M9" s="377" t="s">
        <v>171</v>
      </c>
      <c r="N9" s="377" t="s">
        <v>204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72249.600000000006</v>
      </c>
      <c r="U9" s="381">
        <v>0</v>
      </c>
      <c r="V9" s="381">
        <v>26961.1</v>
      </c>
      <c r="W9" s="381">
        <v>77417.600000000006</v>
      </c>
      <c r="X9" s="381">
        <v>28931.87</v>
      </c>
      <c r="Y9" s="381">
        <v>77417.600000000006</v>
      </c>
      <c r="Z9" s="381">
        <v>29523.81</v>
      </c>
      <c r="AA9" s="377" t="s">
        <v>220</v>
      </c>
      <c r="AB9" s="377" t="s">
        <v>221</v>
      </c>
      <c r="AC9" s="377" t="s">
        <v>222</v>
      </c>
      <c r="AD9" s="377" t="s">
        <v>223</v>
      </c>
      <c r="AE9" s="377" t="s">
        <v>218</v>
      </c>
      <c r="AF9" s="377" t="s">
        <v>224</v>
      </c>
      <c r="AG9" s="377" t="s">
        <v>178</v>
      </c>
      <c r="AH9" s="382">
        <v>37.22</v>
      </c>
      <c r="AI9" s="382">
        <v>41817.9</v>
      </c>
      <c r="AJ9" s="377" t="s">
        <v>179</v>
      </c>
      <c r="AK9" s="377" t="s">
        <v>180</v>
      </c>
      <c r="AL9" s="377" t="s">
        <v>181</v>
      </c>
      <c r="AM9" s="377" t="s">
        <v>182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183</v>
      </c>
      <c r="AS9" s="388">
        <f t="shared" si="27"/>
        <v>1</v>
      </c>
      <c r="AT9">
        <f t="shared" si="28"/>
        <v>1</v>
      </c>
      <c r="AU9" s="388">
        <f>IF(AT9=0,"",IF(AND(AT9=1,M9="F",SUMIF(C2:C12,C9,AS2:AS12)&lt;=1),SUMIF(C2:C12,C9,AS2:AS12),IF(AND(AT9=1,M9="F",SUMIF(C2:C12,C9,AS2:AS12)&gt;1),1,"")))</f>
        <v>1</v>
      </c>
      <c r="AV9" s="388" t="str">
        <f>IF(AT9=0,"",IF(AND(AT9=3,M9="F",SUMIF(C2:C12,C9,AS2:AS12)&lt;=1),SUMIF(C2:C12,C9,AS2:AS12),IF(AND(AT9=3,M9="F",SUMIF(C2:C12,C9,AS2:AS12)&gt;1),1,"")))</f>
        <v/>
      </c>
      <c r="AW9" s="388">
        <f>SUMIF(C2:C12,C9,O2:O12)</f>
        <v>1</v>
      </c>
      <c r="AX9" s="388">
        <f>IF(AND(M9="F",AS9&lt;&gt;0),SUMIF(C2:C12,C9,W2:W12),0)</f>
        <v>77417.600000000006</v>
      </c>
      <c r="AY9" s="388">
        <f t="shared" si="29"/>
        <v>77417.600000000006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4799.8912</v>
      </c>
      <c r="BE9" s="388">
        <f t="shared" si="3"/>
        <v>1122.5552000000002</v>
      </c>
      <c r="BF9" s="388">
        <f t="shared" si="4"/>
        <v>9243.6614400000017</v>
      </c>
      <c r="BG9" s="388">
        <f t="shared" si="5"/>
        <v>558.18089600000008</v>
      </c>
      <c r="BH9" s="388">
        <f t="shared" si="6"/>
        <v>0</v>
      </c>
      <c r="BI9" s="388">
        <f t="shared" si="7"/>
        <v>428.50641600000006</v>
      </c>
      <c r="BJ9" s="388">
        <f t="shared" si="8"/>
        <v>278.70336000000003</v>
      </c>
      <c r="BK9" s="388">
        <f t="shared" si="9"/>
        <v>0</v>
      </c>
      <c r="BL9" s="388">
        <f t="shared" si="32"/>
        <v>16431.498512000002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4799.8912</v>
      </c>
      <c r="BQ9" s="388">
        <f t="shared" si="13"/>
        <v>1122.5552000000002</v>
      </c>
      <c r="BR9" s="388">
        <f t="shared" si="14"/>
        <v>8655.2876800000013</v>
      </c>
      <c r="BS9" s="388">
        <f t="shared" si="15"/>
        <v>558.18089600000008</v>
      </c>
      <c r="BT9" s="388">
        <f t="shared" si="16"/>
        <v>0</v>
      </c>
      <c r="BU9" s="388">
        <f t="shared" si="17"/>
        <v>428.50641600000006</v>
      </c>
      <c r="BV9" s="388">
        <f t="shared" si="18"/>
        <v>209.02752000000004</v>
      </c>
      <c r="BW9" s="388">
        <f t="shared" si="19"/>
        <v>0</v>
      </c>
      <c r="BX9" s="388">
        <f t="shared" si="34"/>
        <v>15773.448912000002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-588.37376000000074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-69.67583999999998</v>
      </c>
      <c r="CI9" s="388">
        <f t="shared" si="26"/>
        <v>0</v>
      </c>
      <c r="CJ9" s="388">
        <f t="shared" si="39"/>
        <v>-658.04960000000074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0482-70</v>
      </c>
    </row>
    <row r="10" spans="1:92" ht="15.75" thickBot="1" x14ac:dyDescent="0.3">
      <c r="A10" s="377" t="s">
        <v>162</v>
      </c>
      <c r="B10" s="377" t="s">
        <v>163</v>
      </c>
      <c r="C10" s="377" t="s">
        <v>164</v>
      </c>
      <c r="D10" s="377" t="s">
        <v>165</v>
      </c>
      <c r="E10" s="377" t="s">
        <v>200</v>
      </c>
      <c r="F10" s="383" t="s">
        <v>201</v>
      </c>
      <c r="G10" s="377" t="s">
        <v>168</v>
      </c>
      <c r="H10" s="379"/>
      <c r="I10" s="379"/>
      <c r="J10" s="377" t="s">
        <v>169</v>
      </c>
      <c r="K10" s="377" t="s">
        <v>170</v>
      </c>
      <c r="L10" s="377" t="s">
        <v>167</v>
      </c>
      <c r="M10" s="377" t="s">
        <v>171</v>
      </c>
      <c r="N10" s="377" t="s">
        <v>172</v>
      </c>
      <c r="O10" s="380">
        <v>1</v>
      </c>
      <c r="P10" s="386">
        <v>0.77</v>
      </c>
      <c r="Q10" s="386">
        <v>0.77</v>
      </c>
      <c r="R10" s="381">
        <v>80</v>
      </c>
      <c r="S10" s="386">
        <v>0.77</v>
      </c>
      <c r="T10" s="381">
        <v>162110.47</v>
      </c>
      <c r="U10" s="381">
        <v>0</v>
      </c>
      <c r="V10" s="381">
        <v>39559.25</v>
      </c>
      <c r="W10" s="381">
        <v>180948.76</v>
      </c>
      <c r="X10" s="381">
        <v>42627.34</v>
      </c>
      <c r="Y10" s="381">
        <v>180948.76</v>
      </c>
      <c r="Z10" s="381">
        <v>42252.29</v>
      </c>
      <c r="AA10" s="377" t="s">
        <v>173</v>
      </c>
      <c r="AB10" s="377" t="s">
        <v>174</v>
      </c>
      <c r="AC10" s="377" t="s">
        <v>175</v>
      </c>
      <c r="AD10" s="377" t="s">
        <v>176</v>
      </c>
      <c r="AE10" s="377" t="s">
        <v>170</v>
      </c>
      <c r="AF10" s="377" t="s">
        <v>177</v>
      </c>
      <c r="AG10" s="377" t="s">
        <v>178</v>
      </c>
      <c r="AH10" s="382">
        <v>112.98</v>
      </c>
      <c r="AI10" s="380">
        <v>20320</v>
      </c>
      <c r="AJ10" s="377" t="s">
        <v>179</v>
      </c>
      <c r="AK10" s="377" t="s">
        <v>180</v>
      </c>
      <c r="AL10" s="377" t="s">
        <v>181</v>
      </c>
      <c r="AM10" s="377" t="s">
        <v>182</v>
      </c>
      <c r="AN10" s="377" t="s">
        <v>66</v>
      </c>
      <c r="AO10" s="380">
        <v>80</v>
      </c>
      <c r="AP10" s="386">
        <v>1</v>
      </c>
      <c r="AQ10" s="386">
        <v>0.77</v>
      </c>
      <c r="AR10" s="384" t="s">
        <v>183</v>
      </c>
      <c r="AS10" s="388">
        <f t="shared" si="27"/>
        <v>0.77</v>
      </c>
      <c r="AT10">
        <f t="shared" si="28"/>
        <v>1</v>
      </c>
      <c r="AU10" s="388">
        <f>IF(AT10=0,"",IF(AND(AT10=1,M10="F",SUMIF(C2:C12,C10,AS2:AS12)&lt;=1),SUMIF(C2:C12,C10,AS2:AS12),IF(AND(AT10=1,M10="F",SUMIF(C2:C12,C10,AS2:AS12)&gt;1),1,"")))</f>
        <v>1</v>
      </c>
      <c r="AV10" s="388" t="str">
        <f>IF(AT10=0,"",IF(AND(AT10=3,M10="F",SUMIF(C2:C12,C10,AS2:AS12)&lt;=1),SUMIF(C2:C12,C10,AS2:AS12),IF(AND(AT10=3,M10="F",SUMIF(C2:C12,C10,AS2:AS12)&gt;1),1,"")))</f>
        <v/>
      </c>
      <c r="AW10" s="388">
        <f>SUMIF(C2:C12,C10,O2:O12)</f>
        <v>2</v>
      </c>
      <c r="AX10" s="388">
        <f>IF(AND(M10="F",AS10&lt;&gt;0),SUMIF(C2:C12,C10,W2:W12),0)</f>
        <v>234998.39</v>
      </c>
      <c r="AY10" s="388">
        <f t="shared" si="29"/>
        <v>180948.76</v>
      </c>
      <c r="AZ10" s="388" t="str">
        <f t="shared" si="30"/>
        <v/>
      </c>
      <c r="BA10" s="388">
        <f t="shared" si="31"/>
        <v>0</v>
      </c>
      <c r="BB10" s="388">
        <f t="shared" si="0"/>
        <v>9625</v>
      </c>
      <c r="BC10" s="388">
        <f t="shared" si="1"/>
        <v>0</v>
      </c>
      <c r="BD10" s="388">
        <f t="shared" si="2"/>
        <v>6817.2720000000008</v>
      </c>
      <c r="BE10" s="388">
        <f t="shared" si="3"/>
        <v>2623.7570200000005</v>
      </c>
      <c r="BF10" s="388">
        <f t="shared" si="4"/>
        <v>21605.281944000002</v>
      </c>
      <c r="BG10" s="388">
        <f t="shared" si="5"/>
        <v>1304.6405596000002</v>
      </c>
      <c r="BH10" s="388">
        <f t="shared" si="6"/>
        <v>0</v>
      </c>
      <c r="BI10" s="388">
        <f t="shared" si="7"/>
        <v>0</v>
      </c>
      <c r="BJ10" s="388">
        <f t="shared" si="8"/>
        <v>651.41553599999997</v>
      </c>
      <c r="BK10" s="388">
        <f t="shared" si="9"/>
        <v>0</v>
      </c>
      <c r="BL10" s="388">
        <f t="shared" si="32"/>
        <v>33002.367059600001</v>
      </c>
      <c r="BM10" s="388">
        <f t="shared" si="33"/>
        <v>0</v>
      </c>
      <c r="BN10" s="388">
        <f t="shared" si="10"/>
        <v>10587.5</v>
      </c>
      <c r="BO10" s="388">
        <f t="shared" si="11"/>
        <v>0</v>
      </c>
      <c r="BP10" s="388">
        <f t="shared" si="12"/>
        <v>7017.78</v>
      </c>
      <c r="BQ10" s="388">
        <f t="shared" si="13"/>
        <v>2623.7570200000005</v>
      </c>
      <c r="BR10" s="388">
        <f t="shared" si="14"/>
        <v>20230.071368000001</v>
      </c>
      <c r="BS10" s="388">
        <f t="shared" si="15"/>
        <v>1304.6405596000002</v>
      </c>
      <c r="BT10" s="388">
        <f t="shared" si="16"/>
        <v>0</v>
      </c>
      <c r="BU10" s="388">
        <f t="shared" si="17"/>
        <v>0</v>
      </c>
      <c r="BV10" s="388">
        <f t="shared" si="18"/>
        <v>488.56165200000004</v>
      </c>
      <c r="BW10" s="388">
        <f t="shared" si="19"/>
        <v>0</v>
      </c>
      <c r="BX10" s="388">
        <f t="shared" si="34"/>
        <v>31664.810599600001</v>
      </c>
      <c r="BY10" s="388">
        <f t="shared" si="35"/>
        <v>0</v>
      </c>
      <c r="BZ10" s="388">
        <f t="shared" si="36"/>
        <v>962.5</v>
      </c>
      <c r="CA10" s="388">
        <f t="shared" si="37"/>
        <v>0</v>
      </c>
      <c r="CB10" s="388">
        <f t="shared" si="38"/>
        <v>200.5079999999989</v>
      </c>
      <c r="CC10" s="388">
        <f t="shared" si="20"/>
        <v>0</v>
      </c>
      <c r="CD10" s="388">
        <f t="shared" si="21"/>
        <v>-1375.2105760000018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-162.85388399999997</v>
      </c>
      <c r="CI10" s="388">
        <f t="shared" si="26"/>
        <v>0</v>
      </c>
      <c r="CJ10" s="388">
        <f t="shared" si="39"/>
        <v>-1337.5564600000027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0482-70</v>
      </c>
    </row>
    <row r="11" spans="1:92" ht="15.75" thickBot="1" x14ac:dyDescent="0.3">
      <c r="A11" s="377" t="s">
        <v>162</v>
      </c>
      <c r="B11" s="377" t="s">
        <v>163</v>
      </c>
      <c r="C11" s="377" t="s">
        <v>184</v>
      </c>
      <c r="D11" s="377" t="s">
        <v>185</v>
      </c>
      <c r="E11" s="377" t="s">
        <v>200</v>
      </c>
      <c r="F11" s="383" t="s">
        <v>201</v>
      </c>
      <c r="G11" s="377" t="s">
        <v>168</v>
      </c>
      <c r="H11" s="379"/>
      <c r="I11" s="379"/>
      <c r="J11" s="377" t="s">
        <v>169</v>
      </c>
      <c r="K11" s="377" t="s">
        <v>186</v>
      </c>
      <c r="L11" s="377" t="s">
        <v>167</v>
      </c>
      <c r="M11" s="377" t="s">
        <v>187</v>
      </c>
      <c r="N11" s="377" t="s">
        <v>188</v>
      </c>
      <c r="O11" s="380">
        <v>0</v>
      </c>
      <c r="P11" s="386">
        <v>0.64</v>
      </c>
      <c r="Q11" s="386">
        <v>0</v>
      </c>
      <c r="R11" s="381">
        <v>0</v>
      </c>
      <c r="S11" s="386">
        <v>0</v>
      </c>
      <c r="T11" s="381">
        <v>0</v>
      </c>
      <c r="U11" s="381">
        <v>0</v>
      </c>
      <c r="V11" s="381">
        <v>0</v>
      </c>
      <c r="W11" s="381">
        <v>0</v>
      </c>
      <c r="X11" s="381">
        <v>0</v>
      </c>
      <c r="Y11" s="381">
        <v>0</v>
      </c>
      <c r="Z11" s="381">
        <v>0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181</v>
      </c>
      <c r="AM11" s="379"/>
      <c r="AN11" s="379"/>
      <c r="AO11" s="380">
        <v>0</v>
      </c>
      <c r="AP11" s="386">
        <v>0</v>
      </c>
      <c r="AQ11" s="386">
        <v>0</v>
      </c>
      <c r="AR11" s="385"/>
      <c r="AS11" s="388">
        <f t="shared" si="27"/>
        <v>0</v>
      </c>
      <c r="AT11">
        <f t="shared" si="28"/>
        <v>0</v>
      </c>
      <c r="AU11" s="388" t="str">
        <f>IF(AT11=0,"",IF(AND(AT11=1,M11="F",SUMIF(C2:C12,C11,AS2:AS12)&lt;=1),SUMIF(C2:C12,C11,AS2:AS12),IF(AND(AT11=1,M11="F",SUMIF(C2:C12,C11,AS2:AS12)&gt;1),1,"")))</f>
        <v/>
      </c>
      <c r="AV11" s="388" t="str">
        <f>IF(AT11=0,"",IF(AND(AT11=3,M11="F",SUMIF(C2:C12,C11,AS2:AS12)&lt;=1),SUMIF(C2:C12,C11,AS2:AS12),IF(AND(AT11=3,M11="F",SUMIF(C2:C12,C11,AS2:AS12)&gt;1),1,"")))</f>
        <v/>
      </c>
      <c r="AW11" s="388">
        <f>SUMIF(C2:C12,C11,O2:O12)</f>
        <v>0</v>
      </c>
      <c r="AX11" s="388">
        <f>IF(AND(M11="F",AS11&lt;&gt;0),SUMIF(C2:C12,C11,W2:W12),0)</f>
        <v>0</v>
      </c>
      <c r="AY11" s="388" t="str">
        <f t="shared" si="29"/>
        <v/>
      </c>
      <c r="AZ11" s="388" t="str">
        <f t="shared" si="30"/>
        <v/>
      </c>
      <c r="BA11" s="388">
        <f t="shared" si="31"/>
        <v>0</v>
      </c>
      <c r="BB11" s="388">
        <f t="shared" si="0"/>
        <v>0</v>
      </c>
      <c r="BC11" s="388">
        <f t="shared" si="1"/>
        <v>0</v>
      </c>
      <c r="BD11" s="388">
        <f t="shared" si="2"/>
        <v>0</v>
      </c>
      <c r="BE11" s="388">
        <f t="shared" si="3"/>
        <v>0</v>
      </c>
      <c r="BF11" s="388">
        <f t="shared" si="4"/>
        <v>0</v>
      </c>
      <c r="BG11" s="388">
        <f t="shared" si="5"/>
        <v>0</v>
      </c>
      <c r="BH11" s="388">
        <f t="shared" si="6"/>
        <v>0</v>
      </c>
      <c r="BI11" s="388">
        <f t="shared" si="7"/>
        <v>0</v>
      </c>
      <c r="BJ11" s="388">
        <f t="shared" si="8"/>
        <v>0</v>
      </c>
      <c r="BK11" s="388">
        <f t="shared" si="9"/>
        <v>0</v>
      </c>
      <c r="BL11" s="388">
        <f t="shared" si="32"/>
        <v>0</v>
      </c>
      <c r="BM11" s="388">
        <f t="shared" si="33"/>
        <v>0</v>
      </c>
      <c r="BN11" s="388">
        <f t="shared" si="10"/>
        <v>0</v>
      </c>
      <c r="BO11" s="388">
        <f t="shared" si="11"/>
        <v>0</v>
      </c>
      <c r="BP11" s="388">
        <f t="shared" si="12"/>
        <v>0</v>
      </c>
      <c r="BQ11" s="388">
        <f t="shared" si="13"/>
        <v>0</v>
      </c>
      <c r="BR11" s="388">
        <f t="shared" si="14"/>
        <v>0</v>
      </c>
      <c r="BS11" s="388">
        <f t="shared" si="15"/>
        <v>0</v>
      </c>
      <c r="BT11" s="388">
        <f t="shared" si="16"/>
        <v>0</v>
      </c>
      <c r="BU11" s="388">
        <f t="shared" si="17"/>
        <v>0</v>
      </c>
      <c r="BV11" s="388">
        <f t="shared" si="18"/>
        <v>0</v>
      </c>
      <c r="BW11" s="388">
        <f t="shared" si="19"/>
        <v>0</v>
      </c>
      <c r="BX11" s="388">
        <f t="shared" si="34"/>
        <v>0</v>
      </c>
      <c r="BY11" s="388">
        <f t="shared" si="35"/>
        <v>0</v>
      </c>
      <c r="BZ11" s="388">
        <f t="shared" si="36"/>
        <v>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0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0</v>
      </c>
      <c r="CI11" s="388">
        <f t="shared" si="26"/>
        <v>0</v>
      </c>
      <c r="CJ11" s="388">
        <f t="shared" si="39"/>
        <v>0</v>
      </c>
      <c r="CK11" s="388" t="str">
        <f t="shared" si="40"/>
        <v/>
      </c>
      <c r="CL11" s="388">
        <f t="shared" si="41"/>
        <v>0</v>
      </c>
      <c r="CM11" s="388">
        <f t="shared" si="42"/>
        <v>0</v>
      </c>
      <c r="CN11" s="388" t="str">
        <f t="shared" si="43"/>
        <v>0482-70</v>
      </c>
    </row>
    <row r="12" spans="1:92" ht="15.75" thickBot="1" x14ac:dyDescent="0.3">
      <c r="A12" s="377" t="s">
        <v>162</v>
      </c>
      <c r="B12" s="377" t="s">
        <v>163</v>
      </c>
      <c r="C12" s="377" t="s">
        <v>189</v>
      </c>
      <c r="D12" s="377" t="s">
        <v>190</v>
      </c>
      <c r="E12" s="377" t="s">
        <v>200</v>
      </c>
      <c r="F12" s="383" t="s">
        <v>201</v>
      </c>
      <c r="G12" s="377" t="s">
        <v>168</v>
      </c>
      <c r="H12" s="379"/>
      <c r="I12" s="379"/>
      <c r="J12" s="377" t="s">
        <v>169</v>
      </c>
      <c r="K12" s="377" t="s">
        <v>191</v>
      </c>
      <c r="L12" s="377" t="s">
        <v>192</v>
      </c>
      <c r="M12" s="377" t="s">
        <v>187</v>
      </c>
      <c r="N12" s="377" t="s">
        <v>188</v>
      </c>
      <c r="O12" s="380">
        <v>0</v>
      </c>
      <c r="P12" s="386">
        <v>0.7</v>
      </c>
      <c r="Q12" s="386">
        <v>0</v>
      </c>
      <c r="R12" s="381">
        <v>0</v>
      </c>
      <c r="S12" s="386">
        <v>0</v>
      </c>
      <c r="T12" s="381">
        <v>0</v>
      </c>
      <c r="U12" s="381">
        <v>0</v>
      </c>
      <c r="V12" s="381">
        <v>0</v>
      </c>
      <c r="W12" s="381">
        <v>0</v>
      </c>
      <c r="X12" s="381">
        <v>0</v>
      </c>
      <c r="Y12" s="381">
        <v>0</v>
      </c>
      <c r="Z12" s="381">
        <v>0</v>
      </c>
      <c r="AA12" s="379"/>
      <c r="AB12" s="377" t="s">
        <v>45</v>
      </c>
      <c r="AC12" s="377" t="s">
        <v>45</v>
      </c>
      <c r="AD12" s="379"/>
      <c r="AE12" s="379"/>
      <c r="AF12" s="379"/>
      <c r="AG12" s="379"/>
      <c r="AH12" s="380">
        <v>0</v>
      </c>
      <c r="AI12" s="380">
        <v>0</v>
      </c>
      <c r="AJ12" s="379"/>
      <c r="AK12" s="379"/>
      <c r="AL12" s="377" t="s">
        <v>181</v>
      </c>
      <c r="AM12" s="379"/>
      <c r="AN12" s="379"/>
      <c r="AO12" s="380">
        <v>0</v>
      </c>
      <c r="AP12" s="386">
        <v>0</v>
      </c>
      <c r="AQ12" s="386">
        <v>0</v>
      </c>
      <c r="AR12" s="385"/>
      <c r="AS12" s="388">
        <f t="shared" si="27"/>
        <v>0</v>
      </c>
      <c r="AT12">
        <f t="shared" si="28"/>
        <v>0</v>
      </c>
      <c r="AU12" s="388" t="str">
        <f>IF(AT12=0,"",IF(AND(AT12=1,M12="F",SUMIF(C2:C12,C12,AS2:AS12)&lt;=1),SUMIF(C2:C12,C12,AS2:AS12),IF(AND(AT12=1,M12="F",SUMIF(C2:C12,C12,AS2:AS12)&gt;1),1,"")))</f>
        <v/>
      </c>
      <c r="AV12" s="388" t="str">
        <f>IF(AT12=0,"",IF(AND(AT12=3,M12="F",SUMIF(C2:C12,C12,AS2:AS12)&lt;=1),SUMIF(C2:C12,C12,AS2:AS12),IF(AND(AT12=3,M12="F",SUMIF(C2:C12,C12,AS2:AS12)&gt;1),1,"")))</f>
        <v/>
      </c>
      <c r="AW12" s="388">
        <f>SUMIF(C2:C12,C12,O2:O12)</f>
        <v>0</v>
      </c>
      <c r="AX12" s="388">
        <f>IF(AND(M12="F",AS12&lt;&gt;0),SUMIF(C2:C12,C12,W2:W12),0)</f>
        <v>0</v>
      </c>
      <c r="AY12" s="388" t="str">
        <f t="shared" si="29"/>
        <v/>
      </c>
      <c r="AZ12" s="388" t="str">
        <f t="shared" si="30"/>
        <v/>
      </c>
      <c r="BA12" s="388">
        <f t="shared" si="31"/>
        <v>0</v>
      </c>
      <c r="BB12" s="388">
        <f t="shared" si="0"/>
        <v>0</v>
      </c>
      <c r="BC12" s="388">
        <f t="shared" si="1"/>
        <v>0</v>
      </c>
      <c r="BD12" s="388">
        <f t="shared" si="2"/>
        <v>0</v>
      </c>
      <c r="BE12" s="388">
        <f t="shared" si="3"/>
        <v>0</v>
      </c>
      <c r="BF12" s="388">
        <f t="shared" si="4"/>
        <v>0</v>
      </c>
      <c r="BG12" s="388">
        <f t="shared" si="5"/>
        <v>0</v>
      </c>
      <c r="BH12" s="388">
        <f t="shared" si="6"/>
        <v>0</v>
      </c>
      <c r="BI12" s="388">
        <f t="shared" si="7"/>
        <v>0</v>
      </c>
      <c r="BJ12" s="388">
        <f t="shared" si="8"/>
        <v>0</v>
      </c>
      <c r="BK12" s="388">
        <f t="shared" si="9"/>
        <v>0</v>
      </c>
      <c r="BL12" s="388">
        <f t="shared" si="32"/>
        <v>0</v>
      </c>
      <c r="BM12" s="388">
        <f t="shared" si="33"/>
        <v>0</v>
      </c>
      <c r="BN12" s="388">
        <f t="shared" si="10"/>
        <v>0</v>
      </c>
      <c r="BO12" s="388">
        <f t="shared" si="11"/>
        <v>0</v>
      </c>
      <c r="BP12" s="388">
        <f t="shared" si="12"/>
        <v>0</v>
      </c>
      <c r="BQ12" s="388">
        <f t="shared" si="13"/>
        <v>0</v>
      </c>
      <c r="BR12" s="388">
        <f t="shared" si="14"/>
        <v>0</v>
      </c>
      <c r="BS12" s="388">
        <f t="shared" si="15"/>
        <v>0</v>
      </c>
      <c r="BT12" s="388">
        <f t="shared" si="16"/>
        <v>0</v>
      </c>
      <c r="BU12" s="388">
        <f t="shared" si="17"/>
        <v>0</v>
      </c>
      <c r="BV12" s="388">
        <f t="shared" si="18"/>
        <v>0</v>
      </c>
      <c r="BW12" s="388">
        <f t="shared" si="19"/>
        <v>0</v>
      </c>
      <c r="BX12" s="388">
        <f t="shared" si="34"/>
        <v>0</v>
      </c>
      <c r="BY12" s="388">
        <f t="shared" si="35"/>
        <v>0</v>
      </c>
      <c r="BZ12" s="388">
        <f t="shared" si="36"/>
        <v>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0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0</v>
      </c>
      <c r="CI12" s="388">
        <f t="shared" si="26"/>
        <v>0</v>
      </c>
      <c r="CJ12" s="388">
        <f t="shared" si="39"/>
        <v>0</v>
      </c>
      <c r="CK12" s="388" t="str">
        <f t="shared" si="40"/>
        <v/>
      </c>
      <c r="CL12" s="388">
        <f t="shared" si="41"/>
        <v>0</v>
      </c>
      <c r="CM12" s="388">
        <f t="shared" si="42"/>
        <v>0</v>
      </c>
      <c r="CN12" s="388" t="str">
        <f t="shared" si="43"/>
        <v>0482-70</v>
      </c>
    </row>
    <row r="14" spans="1:92" ht="21" x14ac:dyDescent="0.35">
      <c r="AQ14" s="251" t="s">
        <v>286</v>
      </c>
    </row>
    <row r="15" spans="1:92" ht="15.75" thickBot="1" x14ac:dyDescent="0.3">
      <c r="AR15" t="s">
        <v>273</v>
      </c>
      <c r="AS15" s="388">
        <f>SUMIFS(AS2:AS12,G2:G12,"LABA",E2:E12,"0349",F2:F12,"00",AT2:AT12,1)</f>
        <v>0.23</v>
      </c>
      <c r="AT15" s="388">
        <f>SUMIFS(AS2:AS12,G2:G12,"LABA",E2:E12,"0349",F2:F12,"00",AT2:AT12,3)</f>
        <v>0</v>
      </c>
      <c r="AU15" s="388">
        <f>SUMIFS(AU2:AU12,G2:G12,"LABA",E2:E12,"0349",F2:F12,"00")</f>
        <v>1</v>
      </c>
      <c r="AV15" s="388">
        <f>SUMIFS(AV2:AV12,G2:G12,"LABA",E2:E12,"0349",F2:F12,"00")</f>
        <v>0</v>
      </c>
      <c r="AW15" s="388">
        <f>SUMIFS(AW2:AW12,G2:G12,"LABA",E2:E12,"0349",F2:F12,"00")</f>
        <v>2</v>
      </c>
      <c r="AX15" s="388">
        <f>SUMIFS(AX2:AX12,G2:G12,"LABA",E2:E12,"0349",F2:F12,"00")</f>
        <v>234998.39</v>
      </c>
      <c r="AY15" s="388">
        <f>SUMIFS(AY2:AY12,G2:G12,"LABA",E2:E12,"0349",F2:F12,"00")</f>
        <v>54049.63</v>
      </c>
      <c r="AZ15" s="388">
        <f>SUMIFS(AZ2:AZ12,G2:G12,"LABA",E2:E12,"0349",F2:F12,"00")</f>
        <v>0</v>
      </c>
      <c r="BA15" s="388">
        <f>SUMIFS(BA2:BA12,G2:G12,"LABA",E2:E12,"0349",F2:F12,"00")</f>
        <v>0</v>
      </c>
      <c r="BB15" s="388">
        <f>SUMIFS(BB2:BB12,G2:G12,"LABA",E2:E12,"0349",F2:F12,"00")</f>
        <v>2875</v>
      </c>
      <c r="BC15" s="388">
        <f>SUMIFS(BC2:BC12,G2:G12,"LABA",E2:E12,"0349",F2:F12,"00")</f>
        <v>0</v>
      </c>
      <c r="BD15" s="388">
        <f>SUMIFS(BD2:BD12,G2:G12,"LABA",E2:E12,"0349",F2:F12,"00")</f>
        <v>2036.3280000000002</v>
      </c>
      <c r="BE15" s="388">
        <f>SUMIFS(BE2:BE12,G2:G12,"LABA",E2:E12,"0349",F2:F12,"00")</f>
        <v>783.71963500000004</v>
      </c>
      <c r="BF15" s="388">
        <f>SUMIFS(BF2:BF12,G2:G12,"LABA",E2:E12,"0349",F2:F12,"00")</f>
        <v>6453.5258219999996</v>
      </c>
      <c r="BG15" s="388">
        <f>SUMIFS(BG2:BG12,G2:G12,"LABA",E2:E12,"0349",F2:F12,"00")</f>
        <v>389.69783230000002</v>
      </c>
      <c r="BH15" s="388">
        <f>SUMIFS(BH2:BH12,G2:G12,"LABA",E2:E12,"0349",F2:F12,"00")</f>
        <v>0</v>
      </c>
      <c r="BI15" s="388">
        <f>SUMIFS(BI2:BI12,G2:G12,"LABA",E2:E12,"0349",F2:F12,"00")</f>
        <v>0</v>
      </c>
      <c r="BJ15" s="388">
        <f>SUMIFS(BJ2:BJ12,G2:G12,"LABA",E2:E12,"0349",F2:F12,"00")</f>
        <v>194.57866799999999</v>
      </c>
      <c r="BK15" s="388">
        <f>SUMIFS(BK2:BK12,G2:G12,"LABA",E2:E12,"0349",F2:F12,"00")</f>
        <v>0</v>
      </c>
      <c r="BL15" s="388">
        <f>SUMIFS(BL2:BL12,G2:G12,"LABA",E2:E12,"0349",F2:F12,"00")</f>
        <v>9857.8499573000008</v>
      </c>
      <c r="BM15" s="388">
        <f>SUMIFS(BM2:BM12,G2:G12,"LABA",E2:E12,"0349",F2:F12,"00")</f>
        <v>0</v>
      </c>
      <c r="BN15" s="388">
        <f>SUMIFS(BN2:BN12,G2:G12,"LABA",E2:E12,"0349",F2:F12,"00")</f>
        <v>3162.5</v>
      </c>
      <c r="BO15" s="388">
        <f>SUMIFS(BO2:BO12,G2:G12,"LABA",E2:E12,"0349",F2:F12,"00")</f>
        <v>0</v>
      </c>
      <c r="BP15" s="388">
        <f>SUMIFS(BP2:BP12,G2:G12,"LABA",E2:E12,"0349",F2:F12,"00")</f>
        <v>2096.2200000000003</v>
      </c>
      <c r="BQ15" s="388">
        <f>SUMIFS(BQ2:BQ12,G2:G12,"LABA",E2:E12,"0349",F2:F12,"00")</f>
        <v>783.71963500000004</v>
      </c>
      <c r="BR15" s="388">
        <f>SUMIFS(BR2:BR12,G2:G12,"LABA",E2:E12,"0349",F2:F12,"00")</f>
        <v>6042.7486339999996</v>
      </c>
      <c r="BS15" s="388">
        <f>SUMIFS(BS2:BS12,G2:G12,"LABA",E2:E12,"0349",F2:F12,"00")</f>
        <v>389.69783230000002</v>
      </c>
      <c r="BT15" s="388">
        <f>SUMIFS(BT2:BT12,G2:G12,"LABA",E2:E12,"0349",F2:F12,"00")</f>
        <v>0</v>
      </c>
      <c r="BU15" s="388">
        <f>SUMIFS(BU2:BU12,G2:G12,"LABA",E2:E12,"0349",F2:F12,"00")</f>
        <v>0</v>
      </c>
      <c r="BV15" s="388">
        <f>SUMIFS(BV2:BV12,G2:G12,"LABA",E2:E12,"0349",F2:F12,"00")</f>
        <v>145.93400099999999</v>
      </c>
      <c r="BW15" s="388">
        <f>SUMIFS(BW2:BW12,G2:G12,"LABA",E2:E12,"0349",F2:F12,"00")</f>
        <v>0</v>
      </c>
      <c r="BX15" s="388">
        <f>SUMIFS(BX2:BX12,G2:G12,"LABA",E2:E12,"0349",F2:F12,"00")</f>
        <v>9458.3201023000001</v>
      </c>
      <c r="BY15" s="388">
        <f>SUMIFS(BY2:BY12,G2:G12,"LABA",E2:E12,"0349",F2:F12,"00")</f>
        <v>0</v>
      </c>
      <c r="BZ15" s="388">
        <f>SUMIFS(BZ2:BZ12,G2:G12,"LABA",E2:E12,"0349",F2:F12,"00")</f>
        <v>287.5</v>
      </c>
      <c r="CA15" s="388">
        <f>SUMIFS(CA2:CA12,G2:G12,"LABA",E2:E12,"0349",F2:F12,"00")</f>
        <v>0</v>
      </c>
      <c r="CB15" s="388">
        <f>SUMIFS(CB2:CB12,G2:G12,"LABA",E2:E12,"0349",F2:F12,"00")</f>
        <v>59.892000000000053</v>
      </c>
      <c r="CC15" s="388">
        <f>SUMIFS(CC2:CC12,G2:G12,"LABA",E2:E12,"0349",F2:F12,"00")</f>
        <v>0</v>
      </c>
      <c r="CD15" s="388">
        <f>SUMIFS(CD2:CD12,G2:G12,"LABA",E2:E12,"0349",F2:F12,"00")</f>
        <v>-410.77718800000048</v>
      </c>
      <c r="CE15" s="388">
        <f>SUMIFS(CE2:CE12,G2:G12,"LABA",E2:E12,"0349",F2:F12,"00")</f>
        <v>0</v>
      </c>
      <c r="CF15" s="388">
        <f>SUMIFS(CF2:CF12,G2:G12,"LABA",E2:E12,"0349",F2:F12,"00")</f>
        <v>0</v>
      </c>
      <c r="CG15" s="388">
        <f>SUMIFS(CG2:CG12,G2:G12,"LABA",E2:E12,"0349",F2:F12,"00")</f>
        <v>0</v>
      </c>
      <c r="CH15" s="388">
        <f>SUMIFS(CH2:CH12,G2:G12,"LABA",E2:E12,"0349",F2:F12,"00")</f>
        <v>-48.644666999999984</v>
      </c>
      <c r="CI15" s="388">
        <f>SUMIFS(CI2:CI12,G2:G12,"LABA",E2:E12,"0349",F2:F12,"00")</f>
        <v>0</v>
      </c>
      <c r="CJ15" s="388">
        <f>SUMIFS(CJ2:CJ12,G2:G12,"LABA",E2:E12,"0349",F2:F12,"00")</f>
        <v>-399.5298550000004</v>
      </c>
      <c r="CK15" s="388">
        <f>SUMIFS(CK2:CK12,G2:G12,"LABA",E2:E12,"0349",F2:F12,"00")</f>
        <v>0</v>
      </c>
      <c r="CL15" s="388">
        <f>SUMIFS(CL2:CL12,G2:G12,"LABA",E2:E12,"0349",F2:F12,"00")</f>
        <v>3100</v>
      </c>
      <c r="CM15" s="388">
        <f>SUMIFS(CM2:CM12,G2:G12,"LABA",E2:E12,"0349",F2:F12,"00")</f>
        <v>237.35</v>
      </c>
    </row>
    <row r="16" spans="1:92" ht="18.75" x14ac:dyDescent="0.3">
      <c r="AQ16" s="394" t="s">
        <v>274</v>
      </c>
      <c r="AS16" s="395">
        <f t="shared" ref="AS16:CM16" si="44">SUM(AS15:AS15)</f>
        <v>0.23</v>
      </c>
      <c r="AT16" s="395">
        <f t="shared" si="44"/>
        <v>0</v>
      </c>
      <c r="AU16" s="395">
        <f t="shared" si="44"/>
        <v>1</v>
      </c>
      <c r="AV16" s="395">
        <f t="shared" si="44"/>
        <v>0</v>
      </c>
      <c r="AW16" s="395">
        <f t="shared" si="44"/>
        <v>2</v>
      </c>
      <c r="AX16" s="395">
        <f t="shared" si="44"/>
        <v>234998.39</v>
      </c>
      <c r="AY16" s="395">
        <f t="shared" si="44"/>
        <v>54049.63</v>
      </c>
      <c r="AZ16" s="395">
        <f t="shared" si="44"/>
        <v>0</v>
      </c>
      <c r="BA16" s="395">
        <f t="shared" si="44"/>
        <v>0</v>
      </c>
      <c r="BB16" s="395">
        <f t="shared" si="44"/>
        <v>2875</v>
      </c>
      <c r="BC16" s="395">
        <f t="shared" si="44"/>
        <v>0</v>
      </c>
      <c r="BD16" s="395">
        <f t="shared" si="44"/>
        <v>2036.3280000000002</v>
      </c>
      <c r="BE16" s="395">
        <f t="shared" si="44"/>
        <v>783.71963500000004</v>
      </c>
      <c r="BF16" s="395">
        <f t="shared" si="44"/>
        <v>6453.5258219999996</v>
      </c>
      <c r="BG16" s="395">
        <f t="shared" si="44"/>
        <v>389.69783230000002</v>
      </c>
      <c r="BH16" s="395">
        <f t="shared" si="44"/>
        <v>0</v>
      </c>
      <c r="BI16" s="395">
        <f t="shared" si="44"/>
        <v>0</v>
      </c>
      <c r="BJ16" s="395">
        <f t="shared" si="44"/>
        <v>194.57866799999999</v>
      </c>
      <c r="BK16" s="395">
        <f t="shared" si="44"/>
        <v>0</v>
      </c>
      <c r="BL16" s="395">
        <f t="shared" si="44"/>
        <v>9857.8499573000008</v>
      </c>
      <c r="BM16" s="395">
        <f t="shared" si="44"/>
        <v>0</v>
      </c>
      <c r="BN16" s="395">
        <f t="shared" si="44"/>
        <v>3162.5</v>
      </c>
      <c r="BO16" s="395">
        <f t="shared" si="44"/>
        <v>0</v>
      </c>
      <c r="BP16" s="395">
        <f t="shared" si="44"/>
        <v>2096.2200000000003</v>
      </c>
      <c r="BQ16" s="395">
        <f t="shared" si="44"/>
        <v>783.71963500000004</v>
      </c>
      <c r="BR16" s="395">
        <f t="shared" si="44"/>
        <v>6042.7486339999996</v>
      </c>
      <c r="BS16" s="395">
        <f t="shared" si="44"/>
        <v>389.69783230000002</v>
      </c>
      <c r="BT16" s="395">
        <f t="shared" si="44"/>
        <v>0</v>
      </c>
      <c r="BU16" s="395">
        <f t="shared" si="44"/>
        <v>0</v>
      </c>
      <c r="BV16" s="395">
        <f t="shared" si="44"/>
        <v>145.93400099999999</v>
      </c>
      <c r="BW16" s="395">
        <f t="shared" si="44"/>
        <v>0</v>
      </c>
      <c r="BX16" s="395">
        <f t="shared" si="44"/>
        <v>9458.3201023000001</v>
      </c>
      <c r="BY16" s="395">
        <f t="shared" si="44"/>
        <v>0</v>
      </c>
      <c r="BZ16" s="395">
        <f t="shared" si="44"/>
        <v>287.5</v>
      </c>
      <c r="CA16" s="395">
        <f t="shared" si="44"/>
        <v>0</v>
      </c>
      <c r="CB16" s="395">
        <f t="shared" si="44"/>
        <v>59.892000000000053</v>
      </c>
      <c r="CC16" s="395">
        <f t="shared" si="44"/>
        <v>0</v>
      </c>
      <c r="CD16" s="395">
        <f t="shared" si="44"/>
        <v>-410.77718800000048</v>
      </c>
      <c r="CE16" s="395">
        <f t="shared" si="44"/>
        <v>0</v>
      </c>
      <c r="CF16" s="395">
        <f t="shared" si="44"/>
        <v>0</v>
      </c>
      <c r="CG16" s="395">
        <f t="shared" si="44"/>
        <v>0</v>
      </c>
      <c r="CH16" s="395">
        <f t="shared" si="44"/>
        <v>-48.644666999999984</v>
      </c>
      <c r="CI16" s="395">
        <f t="shared" si="44"/>
        <v>0</v>
      </c>
      <c r="CJ16" s="395">
        <f t="shared" si="44"/>
        <v>-399.5298550000004</v>
      </c>
      <c r="CK16" s="395">
        <f t="shared" si="44"/>
        <v>0</v>
      </c>
      <c r="CL16" s="395">
        <f t="shared" si="44"/>
        <v>3100</v>
      </c>
      <c r="CM16" s="395">
        <f t="shared" si="44"/>
        <v>237.35</v>
      </c>
    </row>
    <row r="17" spans="41:91" ht="15.75" thickBot="1" x14ac:dyDescent="0.3">
      <c r="AR17" t="s">
        <v>281</v>
      </c>
      <c r="AS17" s="388">
        <f>SUMIFS(AS2:AS12,G2:G12,"LABA",E2:E12,"0482",F2:F12,"70",AT2:AT12,1)</f>
        <v>3.77</v>
      </c>
      <c r="AT17" s="388">
        <f>SUMIFS(AS2:AS12,G2:G12,"LABA",E2:E12,"0482",F2:F12,"70",AT2:AT12,3)</f>
        <v>0</v>
      </c>
      <c r="AU17" s="388">
        <f>SUMIFS(AU2:AU12,G2:G12,"LABA",E2:E12,"0482",F2:F12,"70")</f>
        <v>4</v>
      </c>
      <c r="AV17" s="388">
        <f>SUMIFS(AV2:AV12,G2:G12,"LABA",E2:E12,"0482",F2:F12,"70")</f>
        <v>0</v>
      </c>
      <c r="AW17" s="388">
        <f>SUMIFS(AW2:AW12,G2:G12,"LABA",E2:E12,"0482",F2:F12,"70")</f>
        <v>5</v>
      </c>
      <c r="AX17" s="388">
        <f>SUMIFS(AX2:AX12,G2:G12,"LABA",E2:E12,"0482",F2:F12,"70")</f>
        <v>472409.59</v>
      </c>
      <c r="AY17" s="388">
        <f>SUMIFS(AY2:AY12,G2:G12,"LABA",E2:E12,"0482",F2:F12,"70")</f>
        <v>418359.96</v>
      </c>
      <c r="AZ17" s="388">
        <f>SUMIFS(AZ2:AZ12,G2:G12,"LABA",E2:E12,"0482",F2:F12,"70")</f>
        <v>0</v>
      </c>
      <c r="BA17" s="388">
        <f>SUMIFS(BA2:BA12,G2:G12,"LABA",E2:E12,"0482",F2:F12,"70")</f>
        <v>0</v>
      </c>
      <c r="BB17" s="388">
        <f>SUMIFS(BB2:BB12,G2:G12,"LABA",E2:E12,"0482",F2:F12,"70")</f>
        <v>47125</v>
      </c>
      <c r="BC17" s="388">
        <f>SUMIFS(BC2:BC12,G2:G12,"LABA",E2:E12,"0482",F2:F12,"70")</f>
        <v>0</v>
      </c>
      <c r="BD17" s="388">
        <f>SUMIFS(BD2:BD12,G2:G12,"LABA",E2:E12,"0482",F2:F12,"70")</f>
        <v>21536.7664</v>
      </c>
      <c r="BE17" s="388">
        <f>SUMIFS(BE2:BE12,G2:G12,"LABA",E2:E12,"0482",F2:F12,"70")</f>
        <v>6066.2194200000013</v>
      </c>
      <c r="BF17" s="388">
        <f>SUMIFS(BF2:BF12,G2:G12,"LABA",E2:E12,"0482",F2:F12,"70")</f>
        <v>49952.179224000007</v>
      </c>
      <c r="BG17" s="388">
        <f>SUMIFS(BG2:BG12,G2:G12,"LABA",E2:E12,"0482",F2:F12,"70")</f>
        <v>3016.3753116000003</v>
      </c>
      <c r="BH17" s="388">
        <f>SUMIFS(BH2:BH12,G2:G12,"LABA",E2:E12,"0482",F2:F12,"70")</f>
        <v>0</v>
      </c>
      <c r="BI17" s="388">
        <f>SUMIFS(BI2:BI12,G2:G12,"LABA",E2:E12,"0482",F2:F12,"70")</f>
        <v>735.66792000000009</v>
      </c>
      <c r="BJ17" s="388">
        <f>SUMIFS(BJ2:BJ12,G2:G12,"LABA",E2:E12,"0482",F2:F12,"70")</f>
        <v>1506.0958559999999</v>
      </c>
      <c r="BK17" s="388">
        <f>SUMIFS(BK2:BK12,G2:G12,"LABA",E2:E12,"0482",F2:F12,"70")</f>
        <v>0</v>
      </c>
      <c r="BL17" s="388">
        <f>SUMIFS(BL2:BL12,G2:G12,"LABA",E2:E12,"0482",F2:F12,"70")</f>
        <v>82813.304131600002</v>
      </c>
      <c r="BM17" s="388">
        <f>SUMIFS(BM2:BM12,G2:G12,"LABA",E2:E12,"0482",F2:F12,"70")</f>
        <v>0</v>
      </c>
      <c r="BN17" s="388">
        <f>SUMIFS(BN2:BN12,G2:G12,"LABA",E2:E12,"0482",F2:F12,"70")</f>
        <v>51837.5</v>
      </c>
      <c r="BO17" s="388">
        <f>SUMIFS(BO2:BO12,G2:G12,"LABA",E2:E12,"0482",F2:F12,"70")</f>
        <v>0</v>
      </c>
      <c r="BP17" s="388">
        <f>SUMIFS(BP2:BP12,G2:G12,"LABA",E2:E12,"0482",F2:F12,"70")</f>
        <v>21737.274399999998</v>
      </c>
      <c r="BQ17" s="388">
        <f>SUMIFS(BQ2:BQ12,G2:G12,"LABA",E2:E12,"0482",F2:F12,"70")</f>
        <v>6066.2194200000013</v>
      </c>
      <c r="BR17" s="388">
        <f>SUMIFS(BR2:BR12,G2:G12,"LABA",E2:E12,"0482",F2:F12,"70")</f>
        <v>46772.643528000001</v>
      </c>
      <c r="BS17" s="388">
        <f>SUMIFS(BS2:BS12,G2:G12,"LABA",E2:E12,"0482",F2:F12,"70")</f>
        <v>3016.3753116000003</v>
      </c>
      <c r="BT17" s="388">
        <f>SUMIFS(BT2:BT12,G2:G12,"LABA",E2:E12,"0482",F2:F12,"70")</f>
        <v>0</v>
      </c>
      <c r="BU17" s="388">
        <f>SUMIFS(BU2:BU12,G2:G12,"LABA",E2:E12,"0482",F2:F12,"70")</f>
        <v>735.66792000000009</v>
      </c>
      <c r="BV17" s="388">
        <f>SUMIFS(BV2:BV12,G2:G12,"LABA",E2:E12,"0482",F2:F12,"70")</f>
        <v>1129.5718920000002</v>
      </c>
      <c r="BW17" s="388">
        <f>SUMIFS(BW2:BW12,G2:G12,"LABA",E2:E12,"0482",F2:F12,"70")</f>
        <v>0</v>
      </c>
      <c r="BX17" s="388">
        <f>SUMIFS(BX2:BX12,G2:G12,"LABA",E2:E12,"0482",F2:F12,"70")</f>
        <v>79457.752471600004</v>
      </c>
      <c r="BY17" s="388">
        <f>SUMIFS(BY2:BY12,G2:G12,"LABA",E2:E12,"0482",F2:F12,"70")</f>
        <v>0</v>
      </c>
      <c r="BZ17" s="388">
        <f>SUMIFS(BZ2:BZ12,G2:G12,"LABA",E2:E12,"0482",F2:F12,"70")</f>
        <v>4712.5</v>
      </c>
      <c r="CA17" s="388">
        <f>SUMIFS(CA2:CA12,G2:G12,"LABA",E2:E12,"0482",F2:F12,"70")</f>
        <v>0</v>
      </c>
      <c r="CB17" s="388">
        <f>SUMIFS(CB2:CB12,G2:G12,"LABA",E2:E12,"0482",F2:F12,"70")</f>
        <v>200.5079999999989</v>
      </c>
      <c r="CC17" s="388">
        <f>SUMIFS(CC2:CC12,G2:G12,"LABA",E2:E12,"0482",F2:F12,"70")</f>
        <v>0</v>
      </c>
      <c r="CD17" s="388">
        <f>SUMIFS(CD2:CD12,G2:G12,"LABA",E2:E12,"0482",F2:F12,"70")</f>
        <v>-3179.535696000004</v>
      </c>
      <c r="CE17" s="388">
        <f>SUMIFS(CE2:CE12,G2:G12,"LABA",E2:E12,"0482",F2:F12,"70")</f>
        <v>0</v>
      </c>
      <c r="CF17" s="388">
        <f>SUMIFS(CF2:CF12,G2:G12,"LABA",E2:E12,"0482",F2:F12,"70")</f>
        <v>0</v>
      </c>
      <c r="CG17" s="388">
        <f>SUMIFS(CG2:CG12,G2:G12,"LABA",E2:E12,"0482",F2:F12,"70")</f>
        <v>0</v>
      </c>
      <c r="CH17" s="388">
        <f>SUMIFS(CH2:CH12,G2:G12,"LABA",E2:E12,"0482",F2:F12,"70")</f>
        <v>-376.52396399999986</v>
      </c>
      <c r="CI17" s="388">
        <f>SUMIFS(CI2:CI12,G2:G12,"LABA",E2:E12,"0482",F2:F12,"70")</f>
        <v>0</v>
      </c>
      <c r="CJ17" s="388">
        <f>SUMIFS(CJ2:CJ12,G2:G12,"LABA",E2:E12,"0482",F2:F12,"70")</f>
        <v>-3355.5516600000046</v>
      </c>
      <c r="CK17" s="388">
        <f>SUMIFS(CK2:CK12,G2:G12,"LABA",E2:E12,"0482",F2:F12,"70")</f>
        <v>0</v>
      </c>
      <c r="CL17" s="388">
        <f>SUMIFS(CL2:CL12,G2:G12,"LABA",E2:E12,"0482",F2:F12,"70")</f>
        <v>0</v>
      </c>
      <c r="CM17" s="388">
        <f>SUMIFS(CM2:CM12,G2:G12,"LABA",E2:E12,"0482",F2:F12,"70")</f>
        <v>0</v>
      </c>
    </row>
    <row r="18" spans="41:91" ht="18.75" x14ac:dyDescent="0.3">
      <c r="AQ18" s="394" t="s">
        <v>282</v>
      </c>
      <c r="AS18" s="395">
        <f t="shared" ref="AS18:CM18" si="45">SUM(AS17:AS17)</f>
        <v>3.77</v>
      </c>
      <c r="AT18" s="395">
        <f t="shared" si="45"/>
        <v>0</v>
      </c>
      <c r="AU18" s="395">
        <f t="shared" si="45"/>
        <v>4</v>
      </c>
      <c r="AV18" s="395">
        <f t="shared" si="45"/>
        <v>0</v>
      </c>
      <c r="AW18" s="395">
        <f t="shared" si="45"/>
        <v>5</v>
      </c>
      <c r="AX18" s="395">
        <f t="shared" si="45"/>
        <v>472409.59</v>
      </c>
      <c r="AY18" s="395">
        <f t="shared" si="45"/>
        <v>418359.96</v>
      </c>
      <c r="AZ18" s="395">
        <f t="shared" si="45"/>
        <v>0</v>
      </c>
      <c r="BA18" s="395">
        <f t="shared" si="45"/>
        <v>0</v>
      </c>
      <c r="BB18" s="395">
        <f t="shared" si="45"/>
        <v>47125</v>
      </c>
      <c r="BC18" s="395">
        <f t="shared" si="45"/>
        <v>0</v>
      </c>
      <c r="BD18" s="395">
        <f t="shared" si="45"/>
        <v>21536.7664</v>
      </c>
      <c r="BE18" s="395">
        <f t="shared" si="45"/>
        <v>6066.2194200000013</v>
      </c>
      <c r="BF18" s="395">
        <f t="shared" si="45"/>
        <v>49952.179224000007</v>
      </c>
      <c r="BG18" s="395">
        <f t="shared" si="45"/>
        <v>3016.3753116000003</v>
      </c>
      <c r="BH18" s="395">
        <f t="shared" si="45"/>
        <v>0</v>
      </c>
      <c r="BI18" s="395">
        <f t="shared" si="45"/>
        <v>735.66792000000009</v>
      </c>
      <c r="BJ18" s="395">
        <f t="shared" si="45"/>
        <v>1506.0958559999999</v>
      </c>
      <c r="BK18" s="395">
        <f t="shared" si="45"/>
        <v>0</v>
      </c>
      <c r="BL18" s="395">
        <f t="shared" si="45"/>
        <v>82813.304131600002</v>
      </c>
      <c r="BM18" s="395">
        <f t="shared" si="45"/>
        <v>0</v>
      </c>
      <c r="BN18" s="395">
        <f t="shared" si="45"/>
        <v>51837.5</v>
      </c>
      <c r="BO18" s="395">
        <f t="shared" si="45"/>
        <v>0</v>
      </c>
      <c r="BP18" s="395">
        <f t="shared" si="45"/>
        <v>21737.274399999998</v>
      </c>
      <c r="BQ18" s="395">
        <f t="shared" si="45"/>
        <v>6066.2194200000013</v>
      </c>
      <c r="BR18" s="395">
        <f t="shared" si="45"/>
        <v>46772.643528000001</v>
      </c>
      <c r="BS18" s="395">
        <f t="shared" si="45"/>
        <v>3016.3753116000003</v>
      </c>
      <c r="BT18" s="395">
        <f t="shared" si="45"/>
        <v>0</v>
      </c>
      <c r="BU18" s="395">
        <f t="shared" si="45"/>
        <v>735.66792000000009</v>
      </c>
      <c r="BV18" s="395">
        <f t="shared" si="45"/>
        <v>1129.5718920000002</v>
      </c>
      <c r="BW18" s="395">
        <f t="shared" si="45"/>
        <v>0</v>
      </c>
      <c r="BX18" s="395">
        <f t="shared" si="45"/>
        <v>79457.752471600004</v>
      </c>
      <c r="BY18" s="395">
        <f t="shared" si="45"/>
        <v>0</v>
      </c>
      <c r="BZ18" s="395">
        <f t="shared" si="45"/>
        <v>4712.5</v>
      </c>
      <c r="CA18" s="395">
        <f t="shared" si="45"/>
        <v>0</v>
      </c>
      <c r="CB18" s="395">
        <f t="shared" si="45"/>
        <v>200.5079999999989</v>
      </c>
      <c r="CC18" s="395">
        <f t="shared" si="45"/>
        <v>0</v>
      </c>
      <c r="CD18" s="395">
        <f t="shared" si="45"/>
        <v>-3179.535696000004</v>
      </c>
      <c r="CE18" s="395">
        <f t="shared" si="45"/>
        <v>0</v>
      </c>
      <c r="CF18" s="395">
        <f t="shared" si="45"/>
        <v>0</v>
      </c>
      <c r="CG18" s="395">
        <f t="shared" si="45"/>
        <v>0</v>
      </c>
      <c r="CH18" s="395">
        <f t="shared" si="45"/>
        <v>-376.52396399999986</v>
      </c>
      <c r="CI18" s="395">
        <f t="shared" si="45"/>
        <v>0</v>
      </c>
      <c r="CJ18" s="395">
        <f t="shared" si="45"/>
        <v>-3355.5516600000046</v>
      </c>
      <c r="CK18" s="395">
        <f t="shared" si="45"/>
        <v>0</v>
      </c>
      <c r="CL18" s="395">
        <f t="shared" si="45"/>
        <v>0</v>
      </c>
      <c r="CM18" s="395">
        <f t="shared" si="45"/>
        <v>0</v>
      </c>
    </row>
    <row r="20" spans="41:91" ht="21" x14ac:dyDescent="0.35">
      <c r="AO20" s="251" t="s">
        <v>95</v>
      </c>
      <c r="AP20" s="251"/>
      <c r="AQ20" s="251"/>
    </row>
    <row r="22" spans="41:91" ht="21" x14ac:dyDescent="0.35">
      <c r="AO22" s="252"/>
      <c r="AP22" s="252"/>
      <c r="AQ22" s="252"/>
    </row>
    <row r="23" spans="41:91" ht="15.75" x14ac:dyDescent="0.25">
      <c r="AS23" s="374" t="s">
        <v>81</v>
      </c>
      <c r="AT23" s="478" t="s">
        <v>289</v>
      </c>
      <c r="AU23" s="478"/>
      <c r="AV23" s="479" t="s">
        <v>287</v>
      </c>
      <c r="AW23" s="478" t="s">
        <v>290</v>
      </c>
      <c r="AX23" s="478"/>
      <c r="AY23" s="479" t="s">
        <v>288</v>
      </c>
      <c r="AZ23" s="478" t="s">
        <v>291</v>
      </c>
      <c r="BA23" s="478"/>
    </row>
    <row r="24" spans="41:91" ht="15.75" x14ac:dyDescent="0.25">
      <c r="AS24" s="249"/>
      <c r="AT24" s="374" t="s">
        <v>92</v>
      </c>
      <c r="AU24" s="373" t="s">
        <v>94</v>
      </c>
      <c r="AV24" s="480"/>
      <c r="AW24" s="374" t="s">
        <v>96</v>
      </c>
      <c r="AX24" s="373" t="s">
        <v>93</v>
      </c>
      <c r="AY24" s="480"/>
      <c r="AZ24" s="374" t="s">
        <v>96</v>
      </c>
      <c r="BA24" s="373" t="s">
        <v>93</v>
      </c>
    </row>
    <row r="25" spans="41:91" x14ac:dyDescent="0.25">
      <c r="AO25" s="393" t="s">
        <v>292</v>
      </c>
    </row>
    <row r="26" spans="41:91" x14ac:dyDescent="0.25">
      <c r="AQ26" t="s">
        <v>278</v>
      </c>
      <c r="AS26" s="388">
        <f>SUM(SUMIFS(AS2:AS12,CN2:CN12,AQ26,E2:E12,"0349",F2:F12,"00",AT2:AT12,{1,3}))</f>
        <v>0.23</v>
      </c>
      <c r="AT26" s="388">
        <f>SUMPRODUCT(--(CN2:CN12=AQ26),--(N2:N12&lt;&gt;"NG"),--(AG2:AG12&lt;&gt;"D"),--(AR2:AR12&lt;&gt;6),--(AR2:AR12&lt;&gt;36),--(AR2:AR12&lt;&gt;56),T2:T12)+SUMPRODUCT(--(CN2:CN12=AQ26),--(N2:N12&lt;&gt;"NG"),--(AG2:AG12&lt;&gt;"D"),--(AR2:AR12&lt;&gt;6),--(AR2:AR12&lt;&gt;36),--(AR2:AR12&lt;&gt;56),U2:U12)</f>
        <v>53299.93</v>
      </c>
      <c r="AU26" s="388">
        <f>SUMPRODUCT(--(CN2:CN12=AQ26),--(N2:N12&lt;&gt;"NG"),--(AG2:AG12&lt;&gt;"D"),--(AR2:AR12&lt;&gt;6),--(AR2:AR12&lt;&gt;36),--(AR2:AR12&lt;&gt;56),V2:V12)</f>
        <v>13054.63</v>
      </c>
      <c r="AV26" s="388">
        <f>SUMPRODUCT(--(CN2:CN12=AQ26),AY2:AY12)+SUMPRODUCT(--(CN2:CN12=AQ26),AZ2:AZ12)</f>
        <v>54049.63</v>
      </c>
      <c r="AW26" s="388">
        <f>SUMPRODUCT(--(CN2:CN12=AQ26),BB2:BB12)+SUMPRODUCT(--(CN2:CN12=AQ26),BC2:BC12)</f>
        <v>2875</v>
      </c>
      <c r="AX26" s="388">
        <f>SUMPRODUCT(--(CN2:CN12=AQ26),BL2:BL12)+SUMPRODUCT(--(CN2:CN12=AQ26),BM2:BM12)</f>
        <v>9857.8499573000008</v>
      </c>
      <c r="AY26" s="388">
        <f>SUMPRODUCT(--(CN2:CN12=AQ26),AY2:AY12)+SUMPRODUCT(--(CN2:CN12=AQ26),AZ2:AZ12)+SUMPRODUCT(--(CN2:CN12=AQ26),BA2:BA12)</f>
        <v>54049.63</v>
      </c>
      <c r="AZ26" s="388">
        <f>SUMPRODUCT(--(CN2:CN12=AQ26),BN2:BN12)+SUMPRODUCT(--(CN2:CN12=AQ26),BO2:BO12)</f>
        <v>3162.5</v>
      </c>
      <c r="BA26" s="388">
        <f>SUMPRODUCT(--(CN2:CN12=AQ26),BX2:BX12)+SUMPRODUCT(--(CN2:CN12=AQ26),BY2:BY12)</f>
        <v>9458.3201023000001</v>
      </c>
    </row>
    <row r="27" spans="41:91" x14ac:dyDescent="0.25">
      <c r="AP27" t="s">
        <v>293</v>
      </c>
      <c r="AS27" s="399">
        <f t="shared" ref="AS27:BA27" si="46">SUM(AS26:AS26)</f>
        <v>0.23</v>
      </c>
      <c r="AT27" s="399">
        <f t="shared" si="46"/>
        <v>53299.93</v>
      </c>
      <c r="AU27" s="399">
        <f t="shared" si="46"/>
        <v>13054.63</v>
      </c>
      <c r="AV27" s="399">
        <f t="shared" si="46"/>
        <v>54049.63</v>
      </c>
      <c r="AW27" s="399">
        <f t="shared" si="46"/>
        <v>2875</v>
      </c>
      <c r="AX27" s="399">
        <f t="shared" si="46"/>
        <v>9857.8499573000008</v>
      </c>
      <c r="AY27" s="399">
        <f t="shared" si="46"/>
        <v>54049.63</v>
      </c>
      <c r="AZ27" s="399">
        <f t="shared" si="46"/>
        <v>3162.5</v>
      </c>
      <c r="BA27" s="399">
        <f t="shared" si="46"/>
        <v>9458.3201023000001</v>
      </c>
    </row>
    <row r="28" spans="41:91" x14ac:dyDescent="0.25">
      <c r="AQ28" t="s">
        <v>294</v>
      </c>
      <c r="AS28" s="388">
        <f>SUM(SUMIFS(AS2:AS12,CN2:CN12,AQ28,E2:E12,"0482",F2:F12,"70",AT2:AT12,{1,3}))</f>
        <v>3.77</v>
      </c>
      <c r="AT28" s="388">
        <f>SUMPRODUCT(--(CN2:CN12=AQ28),--(N2:N12&lt;&gt;"NG"),--(AG2:AG12&lt;&gt;"D"),--(AR2:AR12&lt;&gt;6),--(AR2:AR12&lt;&gt;36),--(AR2:AR12&lt;&gt;56),T2:T12)+SUMPRODUCT(--(CN2:CN12=AQ28),--(N2:N12&lt;&gt;"NG"),--(AG2:AG12&lt;&gt;"D"),--(AR2:AR12&lt;&gt;6),--(AR2:AR12&lt;&gt;36),--(AR2:AR12&lt;&gt;56),U2:U12)</f>
        <v>385307.5</v>
      </c>
      <c r="AU28" s="388">
        <f>SUMPRODUCT(--(CN2:CN12=AQ28),--(N2:N12&lt;&gt;"NG"),--(AG2:AG12&lt;&gt;"D"),--(AR2:AR12&lt;&gt;6),--(AR2:AR12&lt;&gt;36),--(AR2:AR12&lt;&gt;56),V2:V12)</f>
        <v>121726.01000000001</v>
      </c>
      <c r="AV28" s="388">
        <f>SUMPRODUCT(--(CN2:CN12=AQ28),AY2:AY12)+SUMPRODUCT(--(CN2:CN12=AQ28),AZ2:AZ12)</f>
        <v>418359.96</v>
      </c>
      <c r="AW28" s="388">
        <f>SUMPRODUCT(--(CN2:CN12=AQ28),BB2:BB12)+SUMPRODUCT(--(CN2:CN12=AQ28),BC2:BC12)</f>
        <v>47125</v>
      </c>
      <c r="AX28" s="388">
        <f>SUMPRODUCT(--(CN2:CN12=AQ28),BL2:BL12)+SUMPRODUCT(--(CN2:CN12=AQ28),BM2:BM12)</f>
        <v>82813.304131600002</v>
      </c>
      <c r="AY28" s="388">
        <f>SUMPRODUCT(--(CN2:CN12=AQ28),AY2:AY12)+SUMPRODUCT(--(CN2:CN12=AQ28),AZ2:AZ12)+SUMPRODUCT(--(CN2:CN12=AQ28),BA2:BA12)</f>
        <v>418359.96</v>
      </c>
      <c r="AZ28" s="388">
        <f>SUMPRODUCT(--(CN2:CN12=AQ28),BN2:BN12)+SUMPRODUCT(--(CN2:CN12=AQ28),BO2:BO12)</f>
        <v>51837.5</v>
      </c>
      <c r="BA28" s="388">
        <f>SUMPRODUCT(--(CN2:CN12=AQ28),BX2:BX12)+SUMPRODUCT(--(CN2:CN12=AQ28),BY2:BY12)</f>
        <v>79457.752471600004</v>
      </c>
    </row>
    <row r="29" spans="41:91" x14ac:dyDescent="0.25">
      <c r="AP29" t="s">
        <v>295</v>
      </c>
      <c r="AS29" s="399">
        <f t="shared" ref="AS29:BA29" si="47">SUM(AS28:AS28)</f>
        <v>3.77</v>
      </c>
      <c r="AT29" s="399">
        <f t="shared" si="47"/>
        <v>385307.5</v>
      </c>
      <c r="AU29" s="399">
        <f t="shared" si="47"/>
        <v>121726.01000000001</v>
      </c>
      <c r="AV29" s="399">
        <f t="shared" si="47"/>
        <v>418359.96</v>
      </c>
      <c r="AW29" s="399">
        <f t="shared" si="47"/>
        <v>47125</v>
      </c>
      <c r="AX29" s="399">
        <f t="shared" si="47"/>
        <v>82813.304131600002</v>
      </c>
      <c r="AY29" s="399">
        <f t="shared" si="47"/>
        <v>418359.96</v>
      </c>
      <c r="AZ29" s="399">
        <f t="shared" si="47"/>
        <v>51837.5</v>
      </c>
      <c r="BA29" s="399">
        <f t="shared" si="47"/>
        <v>79457.752471600004</v>
      </c>
    </row>
    <row r="30" spans="41:91" x14ac:dyDescent="0.25">
      <c r="AS30" s="388"/>
      <c r="AT30" s="388"/>
      <c r="AU30" s="388"/>
      <c r="AV30" s="388"/>
      <c r="AW30" s="388"/>
      <c r="AX30" s="388"/>
      <c r="AY30" s="388"/>
      <c r="AZ30" s="388"/>
      <c r="BA30" s="388"/>
    </row>
    <row r="31" spans="41:91" x14ac:dyDescent="0.25">
      <c r="AO31" s="397" t="s">
        <v>296</v>
      </c>
      <c r="AS31" s="400">
        <f t="shared" ref="AS31:BA31" si="48">SUM(AS27,AS29)</f>
        <v>4</v>
      </c>
      <c r="AT31" s="400">
        <f t="shared" si="48"/>
        <v>438607.43</v>
      </c>
      <c r="AU31" s="400">
        <f t="shared" si="48"/>
        <v>134780.64000000001</v>
      </c>
      <c r="AV31" s="400">
        <f t="shared" si="48"/>
        <v>472409.59</v>
      </c>
      <c r="AW31" s="400">
        <f t="shared" si="48"/>
        <v>50000</v>
      </c>
      <c r="AX31" s="400">
        <f t="shared" si="48"/>
        <v>92671.154088900003</v>
      </c>
      <c r="AY31" s="400">
        <f t="shared" si="48"/>
        <v>472409.59</v>
      </c>
      <c r="AZ31" s="400">
        <f t="shared" si="48"/>
        <v>55000</v>
      </c>
      <c r="BA31" s="400">
        <f t="shared" si="48"/>
        <v>88916.072573900004</v>
      </c>
    </row>
    <row r="32" spans="41:91" x14ac:dyDescent="0.25">
      <c r="AS32" s="388"/>
      <c r="AT32" s="388"/>
      <c r="AU32" s="388"/>
      <c r="AV32" s="388"/>
      <c r="AW32" s="388"/>
      <c r="AX32" s="388"/>
      <c r="AY32" s="388"/>
      <c r="AZ32" s="388"/>
      <c r="BA32" s="388"/>
    </row>
    <row r="33" spans="41:86" x14ac:dyDescent="0.25">
      <c r="AO33" s="393" t="s">
        <v>297</v>
      </c>
      <c r="AS33" s="388"/>
      <c r="AT33" s="388"/>
      <c r="AU33" s="388"/>
      <c r="AV33" s="388"/>
      <c r="AW33" s="388"/>
      <c r="AX33" s="388"/>
      <c r="AY33" s="388"/>
      <c r="AZ33" s="388"/>
      <c r="BA33" s="388"/>
    </row>
    <row r="34" spans="41:86" x14ac:dyDescent="0.25">
      <c r="AQ34" t="s">
        <v>278</v>
      </c>
      <c r="AS34" s="388"/>
      <c r="AT34" s="388">
        <f>SUMIF(CN2:CN12,AQ34,CL2:CL12)</f>
        <v>3100</v>
      </c>
      <c r="AU34" s="388">
        <f>SUMIF(CN2:CN12,AQ34,CM2:CM12)</f>
        <v>237.35</v>
      </c>
      <c r="AV34" s="388">
        <f>SUMIF(CN2:CN12,AQ34,CL2:CL12)</f>
        <v>3100</v>
      </c>
      <c r="AW34" s="388">
        <v>0</v>
      </c>
      <c r="AX34" s="388">
        <f>SUMIF(CN2:CN12,AQ34,CM2:CM12)</f>
        <v>237.35</v>
      </c>
      <c r="AY34" s="388">
        <f>SUMIF(CN2:CN12,AQ34,CL2:CL12)</f>
        <v>3100</v>
      </c>
      <c r="AZ34" s="388">
        <v>0</v>
      </c>
      <c r="BA34" s="388">
        <f>SUMIF(CN2:CN12,AQ34,CM2:CM12)</f>
        <v>237.35</v>
      </c>
    </row>
    <row r="35" spans="41:86" x14ac:dyDescent="0.25">
      <c r="AP35" t="s">
        <v>293</v>
      </c>
      <c r="AS35" s="399"/>
      <c r="AT35" s="399">
        <f t="shared" ref="AT35:BA35" si="49">SUM(AT34:AT34)</f>
        <v>3100</v>
      </c>
      <c r="AU35" s="399">
        <f t="shared" si="49"/>
        <v>237.35</v>
      </c>
      <c r="AV35" s="399">
        <f t="shared" si="49"/>
        <v>3100</v>
      </c>
      <c r="AW35" s="399">
        <f t="shared" si="49"/>
        <v>0</v>
      </c>
      <c r="AX35" s="399">
        <f t="shared" si="49"/>
        <v>237.35</v>
      </c>
      <c r="AY35" s="399">
        <f t="shared" si="49"/>
        <v>3100</v>
      </c>
      <c r="AZ35" s="399">
        <f t="shared" si="49"/>
        <v>0</v>
      </c>
      <c r="BA35" s="399">
        <f t="shared" si="49"/>
        <v>237.35</v>
      </c>
    </row>
    <row r="36" spans="41:86" x14ac:dyDescent="0.25">
      <c r="AS36" s="388"/>
      <c r="AT36" s="388"/>
      <c r="AU36" s="388"/>
      <c r="AV36" s="388"/>
      <c r="AW36" s="388"/>
      <c r="AX36" s="388"/>
      <c r="AY36" s="388"/>
      <c r="AZ36" s="388"/>
      <c r="BA36" s="388"/>
    </row>
    <row r="37" spans="41:86" x14ac:dyDescent="0.25">
      <c r="AO37" s="397" t="s">
        <v>298</v>
      </c>
      <c r="AS37" s="400">
        <f t="shared" ref="AS37:BA37" si="50">SUM(AS35)</f>
        <v>0</v>
      </c>
      <c r="AT37" s="400">
        <f t="shared" si="50"/>
        <v>3100</v>
      </c>
      <c r="AU37" s="400">
        <f t="shared" si="50"/>
        <v>237.35</v>
      </c>
      <c r="AV37" s="400">
        <f t="shared" si="50"/>
        <v>3100</v>
      </c>
      <c r="AW37" s="400">
        <f t="shared" si="50"/>
        <v>0</v>
      </c>
      <c r="AX37" s="400">
        <f t="shared" si="50"/>
        <v>237.35</v>
      </c>
      <c r="AY37" s="400">
        <f t="shared" si="50"/>
        <v>3100</v>
      </c>
      <c r="AZ37" s="400">
        <f t="shared" si="50"/>
        <v>0</v>
      </c>
      <c r="BA37" s="400">
        <f t="shared" si="50"/>
        <v>237.35</v>
      </c>
      <c r="CB37" s="393"/>
      <c r="CH37" s="393"/>
    </row>
    <row r="38" spans="41:86" x14ac:dyDescent="0.25">
      <c r="AS38" s="388"/>
      <c r="AT38" s="388"/>
      <c r="AU38" s="388"/>
      <c r="AV38" s="388"/>
      <c r="AW38" s="388"/>
      <c r="AX38" s="388"/>
      <c r="AY38" s="388"/>
      <c r="AZ38" s="388"/>
      <c r="BA38" s="388"/>
    </row>
    <row r="39" spans="41:86" x14ac:dyDescent="0.25">
      <c r="AO39" s="398" t="s">
        <v>299</v>
      </c>
      <c r="AS39" s="401">
        <f t="shared" ref="AS39:BA39" si="51">SUM(AS31,AS37)</f>
        <v>4</v>
      </c>
      <c r="AT39" s="402">
        <f t="shared" si="51"/>
        <v>441707.43</v>
      </c>
      <c r="AU39" s="402">
        <f t="shared" si="51"/>
        <v>135017.99000000002</v>
      </c>
      <c r="AV39" s="402">
        <f t="shared" si="51"/>
        <v>475509.59</v>
      </c>
      <c r="AW39" s="402">
        <f t="shared" si="51"/>
        <v>50000</v>
      </c>
      <c r="AX39" s="402">
        <f t="shared" si="51"/>
        <v>92908.504088900008</v>
      </c>
      <c r="AY39" s="402">
        <f t="shared" si="51"/>
        <v>475509.59</v>
      </c>
      <c r="AZ39" s="402">
        <f t="shared" si="51"/>
        <v>55000</v>
      </c>
      <c r="BA39" s="402">
        <f t="shared" si="51"/>
        <v>89153.42257390001</v>
      </c>
    </row>
  </sheetData>
  <mergeCells count="5">
    <mergeCell ref="AT23:AU23"/>
    <mergeCell ref="AV23:AV24"/>
    <mergeCell ref="AW23:AX23"/>
    <mergeCell ref="AY23:AY24"/>
    <mergeCell ref="AZ23:BA2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8" sqref="D8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3.5999999999999999E-3</v>
      </c>
      <c r="D8" s="234">
        <v>2.7000000000000001E-3</v>
      </c>
      <c r="E8" s="314">
        <f t="shared" si="0"/>
        <v>-8.9999999999999976E-4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9.2844999999999997E-2</v>
      </c>
      <c r="D12" s="234">
        <f>SUM(D5:D11)</f>
        <v>9.1944999999999985E-2</v>
      </c>
      <c r="E12" s="315">
        <f>D12-C12</f>
        <v>-9.000000000000119E-4</v>
      </c>
      <c r="M12" s="320"/>
    </row>
    <row r="13" spans="1:15" x14ac:dyDescent="0.3">
      <c r="A13" s="3"/>
      <c r="B13" s="231" t="s">
        <v>9</v>
      </c>
      <c r="C13" s="226">
        <f>SUM(C5:C8)</f>
        <v>8.0100000000000005E-2</v>
      </c>
      <c r="D13" s="226">
        <f>SUM(D5:D8)</f>
        <v>7.9199999999999993E-2</v>
      </c>
      <c r="E13" s="313">
        <f t="shared" si="0"/>
        <v>-9.000000000000119E-4</v>
      </c>
      <c r="F13" s="8"/>
    </row>
    <row r="14" spans="1:15" x14ac:dyDescent="0.3">
      <c r="A14" s="230"/>
      <c r="B14" s="232" t="s">
        <v>100</v>
      </c>
      <c r="C14" s="226">
        <f>SUM(C5:C6,C8:C9)</f>
        <v>8.7309999999999999E-2</v>
      </c>
      <c r="D14" s="226">
        <f>SUM(D5:D6,D8:D9)</f>
        <v>8.6409999999999987E-2</v>
      </c>
      <c r="E14" s="313">
        <f>D14-C14</f>
        <v>-9.000000000000119E-4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8"/>
      <c r="N1" s="409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0"/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8"/>
      <c r="N3" s="40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/>
      <c r="J5" s="412"/>
      <c r="K5" s="412"/>
      <c r="L5" s="411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3" t="s">
        <v>22</v>
      </c>
      <c r="D8" s="414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D30" sqref="D3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280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13" t="s">
        <v>22</v>
      </c>
      <c r="B2" s="414"/>
      <c r="C2" s="371" t="s">
        <v>23</v>
      </c>
      <c r="D2" s="49" t="s">
        <v>24</v>
      </c>
      <c r="E2" s="50" t="str">
        <f>"FY "&amp;'LABA|0349-00'!FiscalYear-1&amp;" SALARY"</f>
        <v>FY 2023 SALARY</v>
      </c>
      <c r="F2" s="50" t="str">
        <f>"FY "&amp;'LABA|0349-00'!FiscalYear-1&amp;" HEALTH BENEFITS"</f>
        <v>FY 2023 HEALTH BENEFITS</v>
      </c>
      <c r="G2" s="50" t="str">
        <f>"FY "&amp;'LABA|0349-00'!FiscalYear-1&amp;" VAR BENEFITS"</f>
        <v>FY 2023 VAR BENEFITS</v>
      </c>
      <c r="H2" s="50" t="str">
        <f>"FY "&amp;'LABA|0349-00'!FiscalYear-1&amp;" TOTAL"</f>
        <v>FY 2023 TOTAL</v>
      </c>
      <c r="I2" s="50" t="str">
        <f>"FY "&amp;'LABA|0349-00'!FiscalYear&amp;" SALARY CHANGE"</f>
        <v>FY 2024 SALARY CHANGE</v>
      </c>
      <c r="J2" s="50" t="str">
        <f>"FY "&amp;'LABA|0349-00'!FiscalYear&amp;" CHG HEALTH BENEFITS"</f>
        <v>FY 2024 CHG HEALTH BENEFITS</v>
      </c>
      <c r="K2" s="50" t="str">
        <f>"FY "&amp;'LABA|0349-00'!FiscalYear&amp;" CHG VAR BENEFITS"</f>
        <v>FY 2024 CHG VAR BENEFITS</v>
      </c>
      <c r="L2" s="50" t="s">
        <v>25</v>
      </c>
    </row>
    <row r="3" spans="1:12" x14ac:dyDescent="0.25">
      <c r="A3" s="416" t="s">
        <v>26</v>
      </c>
      <c r="B3" s="417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6" t="s">
        <v>27</v>
      </c>
      <c r="B4" s="407"/>
      <c r="C4" s="217">
        <v>1</v>
      </c>
      <c r="D4" s="288">
        <f>[0]!LABA034900col_INC_FTI</f>
        <v>0.23</v>
      </c>
      <c r="E4" s="218">
        <f>[0]!LABA034900col_FTI_SALARY_PERM</f>
        <v>54049.63</v>
      </c>
      <c r="F4" s="218">
        <f>[0]!LABA034900col_HEALTH_PERM</f>
        <v>2875</v>
      </c>
      <c r="G4" s="218">
        <f>[0]!LABA034900col_TOT_VB_PERM</f>
        <v>9857.8499573000008</v>
      </c>
      <c r="H4" s="219">
        <f>SUM(E4:G4)</f>
        <v>66782.479957300005</v>
      </c>
      <c r="I4" s="219">
        <f>[0]!LABA034900col_1_27TH_PP</f>
        <v>0</v>
      </c>
      <c r="J4" s="218">
        <f>[0]!LABA034900col_HEALTH_PERM_CHG</f>
        <v>287.5</v>
      </c>
      <c r="K4" s="218">
        <f>[0]!LABA034900col_TOT_VB_PERM_CHG</f>
        <v>-399.5298550000004</v>
      </c>
      <c r="L4" s="218">
        <f>SUM(J4:K4)</f>
        <v>-112.0298550000004</v>
      </c>
    </row>
    <row r="5" spans="1:12" x14ac:dyDescent="0.25">
      <c r="A5" s="406" t="s">
        <v>28</v>
      </c>
      <c r="B5" s="407"/>
      <c r="C5" s="217">
        <v>2</v>
      </c>
      <c r="D5" s="288"/>
      <c r="E5" s="218">
        <f>[0]!LABA034900col_Group_Salary</f>
        <v>3100</v>
      </c>
      <c r="F5" s="218">
        <v>0</v>
      </c>
      <c r="G5" s="218">
        <f>[0]!LABA034900col_Group_Ben</f>
        <v>237.35</v>
      </c>
      <c r="H5" s="219">
        <f>SUM(E5:G5)</f>
        <v>3337.35</v>
      </c>
      <c r="I5" s="268"/>
      <c r="J5" s="218"/>
      <c r="K5" s="218"/>
      <c r="L5" s="218"/>
    </row>
    <row r="6" spans="1:12" x14ac:dyDescent="0.25">
      <c r="A6" s="406" t="s">
        <v>29</v>
      </c>
      <c r="B6" s="418"/>
      <c r="C6" s="217">
        <v>3</v>
      </c>
      <c r="D6" s="288">
        <f>[0]!LABA034900col_TOTAL_ELECT_PCN_FTI</f>
        <v>0</v>
      </c>
      <c r="E6" s="218">
        <f>[0]!LABA034900col_FTI_SALARY_ELECT</f>
        <v>0</v>
      </c>
      <c r="F6" s="218">
        <f>[0]!LABA034900col_HEALTH_ELECT</f>
        <v>0</v>
      </c>
      <c r="G6" s="218">
        <f>[0]!LABA034900col_TOT_VB_ELECT</f>
        <v>0</v>
      </c>
      <c r="H6" s="219">
        <f>SUM(E6:G6)</f>
        <v>0</v>
      </c>
      <c r="I6" s="268"/>
      <c r="J6" s="218">
        <f>[0]!LABA034900col_HEALTH_ELECT_CHG</f>
        <v>0</v>
      </c>
      <c r="K6" s="218">
        <f>[0]!LABA034900col_TOT_VB_ELECT_CHG</f>
        <v>0</v>
      </c>
      <c r="L6" s="219">
        <f>SUM(J6:K6)</f>
        <v>0</v>
      </c>
    </row>
    <row r="7" spans="1:12" x14ac:dyDescent="0.25">
      <c r="A7" s="406" t="s">
        <v>30</v>
      </c>
      <c r="B7" s="407"/>
      <c r="C7" s="217"/>
      <c r="D7" s="220">
        <f>SUM(D4:D6)</f>
        <v>0.23</v>
      </c>
      <c r="E7" s="221">
        <f>SUM(E4:E6)</f>
        <v>57149.63</v>
      </c>
      <c r="F7" s="221">
        <f>SUM(F4:F6)</f>
        <v>2875</v>
      </c>
      <c r="G7" s="221">
        <f>SUM(G4:G6)</f>
        <v>10095.199957300001</v>
      </c>
      <c r="H7" s="219">
        <f>SUM(E7:G7)</f>
        <v>70119.829957299997</v>
      </c>
      <c r="I7" s="268"/>
      <c r="J7" s="219">
        <f>SUM(J4:J6)</f>
        <v>287.5</v>
      </c>
      <c r="K7" s="219">
        <f>SUM(K4:K6)</f>
        <v>-399.5298550000004</v>
      </c>
      <c r="L7" s="219">
        <f>SUM(L4:L6)</f>
        <v>-112.0298550000004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"&amp;'LABA|0349-00'!FiscalYear-1</f>
        <v>FY 2023</v>
      </c>
      <c r="B9" s="158" t="s">
        <v>31</v>
      </c>
      <c r="C9" s="355">
        <v>74900</v>
      </c>
      <c r="D9" s="55">
        <v>0.85</v>
      </c>
      <c r="E9" s="223">
        <f>IF('LABA|0349-00'!OrigApprop=0,0,(E7/H7)*'LABA|0349-00'!OrigApprop)</f>
        <v>61045.602786068463</v>
      </c>
      <c r="F9" s="223">
        <f>IF('LABA|0349-00'!OrigApprop=0,0,(F7/H7)*'LABA|0349-00'!OrigApprop)</f>
        <v>3070.9929007405099</v>
      </c>
      <c r="G9" s="223">
        <f>IF(E9=0,0,(G7/H7)*'LABA|0349-00'!OrigApprop)</f>
        <v>10783.404313191026</v>
      </c>
      <c r="H9" s="223">
        <f>SUM(E9:G9)</f>
        <v>74900</v>
      </c>
      <c r="I9" s="268"/>
      <c r="J9" s="224"/>
      <c r="K9" s="224"/>
      <c r="L9" s="224"/>
    </row>
    <row r="10" spans="1:12" x14ac:dyDescent="0.25">
      <c r="A10" s="424" t="s">
        <v>32</v>
      </c>
      <c r="B10" s="425"/>
      <c r="C10" s="160" t="s">
        <v>33</v>
      </c>
      <c r="D10" s="161">
        <f>D9-D7</f>
        <v>0.62</v>
      </c>
      <c r="E10" s="162">
        <f>E9-E7</f>
        <v>3895.9727860684652</v>
      </c>
      <c r="F10" s="162">
        <f>F9-F7</f>
        <v>195.99290074050987</v>
      </c>
      <c r="G10" s="162">
        <f>G9-G7</f>
        <v>688.20435589102453</v>
      </c>
      <c r="H10" s="162">
        <f>H9-H7</f>
        <v>4780.1700427000033</v>
      </c>
      <c r="I10" s="269"/>
      <c r="J10" s="56" t="str">
        <f>IF('LABA|0349-00'!OrigApprop=0,"No Original Appropriation amount in DU 3.00 for this fund","Calculated "&amp;IF('LABA|0349-00'!AdjustedTotal&gt;0,"overfunding ","underfunding ")&amp;"is "&amp;TEXT('LABA|0349-00'!AdjustedTotal/'LABA|0349-00'!AppropTotal,"#.0%;(#.0% );0% ;")&amp;" of Original Appropriation")</f>
        <v>Calculated overfunding is 6.4% of Original Appropriation</v>
      </c>
      <c r="K10" s="163"/>
      <c r="L10" s="164"/>
    </row>
    <row r="12" spans="1:12" x14ac:dyDescent="0.25">
      <c r="A12" s="396" t="s">
        <v>301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13" t="s">
        <v>22</v>
      </c>
      <c r="B13" s="414"/>
      <c r="C13" s="371" t="s">
        <v>23</v>
      </c>
      <c r="D13" s="49" t="s">
        <v>24</v>
      </c>
      <c r="E13" s="50" t="str">
        <f>"FY "&amp;'LABB|0482-00'!FiscalYear-1&amp;" SALARY"</f>
        <v>FY 2023 SALARY</v>
      </c>
      <c r="F13" s="50" t="str">
        <f>"FY "&amp;'LABB|0482-00'!FiscalYear-1&amp;" HEALTH BENEFITS"</f>
        <v>FY 2023 HEALTH BENEFITS</v>
      </c>
      <c r="G13" s="50" t="str">
        <f>"FY "&amp;'LABB|0482-00'!FiscalYear-1&amp;" VAR BENEFITS"</f>
        <v>FY 2023 VAR BENEFITS</v>
      </c>
      <c r="H13" s="50" t="str">
        <f>"FY "&amp;'LABB|0482-00'!FiscalYear-1&amp;" TOTAL"</f>
        <v>FY 2023 TOTAL</v>
      </c>
      <c r="I13" s="50" t="str">
        <f>"FY "&amp;'LABB|0482-00'!FiscalYear&amp;" SALARY CHANGE"</f>
        <v>FY 2024 SALARY CHANGE</v>
      </c>
      <c r="J13" s="50" t="str">
        <f>"FY "&amp;'LABB|0482-00'!FiscalYear&amp;" CHG HEALTH BENEFITS"</f>
        <v>FY 2024 CHG HEALTH BENEFITS</v>
      </c>
      <c r="K13" s="50" t="str">
        <f>"FY "&amp;'LABB|0482-00'!FiscalYear&amp;" CHG VAR BENEFITS"</f>
        <v>FY 2024 CHG VAR BENEFITS</v>
      </c>
      <c r="L13" s="50" t="s">
        <v>25</v>
      </c>
    </row>
    <row r="14" spans="1:12" x14ac:dyDescent="0.25">
      <c r="A14" s="416" t="s">
        <v>26</v>
      </c>
      <c r="B14" s="417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6" t="s">
        <v>27</v>
      </c>
      <c r="B15" s="407"/>
      <c r="C15" s="217">
        <v>1</v>
      </c>
      <c r="D15" s="288">
        <f>[0]!LABA048270col_INC_FTI</f>
        <v>3.77</v>
      </c>
      <c r="E15" s="218">
        <f>[0]!LABA048270col_FTI_SALARY_PERM</f>
        <v>418359.96</v>
      </c>
      <c r="F15" s="218">
        <f>[0]!LABA048270col_HEALTH_PERM</f>
        <v>47125</v>
      </c>
      <c r="G15" s="218">
        <f>[0]!LABA048270col_TOT_VB_PERM</f>
        <v>82813.304131600002</v>
      </c>
      <c r="H15" s="219">
        <f>SUM(E15:G15)</f>
        <v>548298.26413160004</v>
      </c>
      <c r="I15" s="219">
        <f>[0]!LABA048270col_1_27TH_PP</f>
        <v>0</v>
      </c>
      <c r="J15" s="218">
        <f>[0]!LABA048270col_HEALTH_PERM_CHG</f>
        <v>4712.5</v>
      </c>
      <c r="K15" s="218">
        <f>[0]!LABA048270col_TOT_VB_PERM_CHG</f>
        <v>-3355.5516600000046</v>
      </c>
      <c r="L15" s="218">
        <f>SUM(J15:K15)</f>
        <v>1356.9483399999954</v>
      </c>
    </row>
    <row r="16" spans="1:12" x14ac:dyDescent="0.25">
      <c r="A16" s="406" t="s">
        <v>28</v>
      </c>
      <c r="B16" s="407"/>
      <c r="C16" s="217">
        <v>2</v>
      </c>
      <c r="D16" s="288"/>
      <c r="E16" s="218">
        <f>[0]!LABA048270col_Group_Salary</f>
        <v>0</v>
      </c>
      <c r="F16" s="218">
        <v>0</v>
      </c>
      <c r="G16" s="218">
        <f>[0]!LABA048270col_Group_Ben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06" t="s">
        <v>29</v>
      </c>
      <c r="B17" s="418"/>
      <c r="C17" s="217">
        <v>3</v>
      </c>
      <c r="D17" s="288">
        <f>[0]!LABA048270col_TOTAL_ELECT_PCN_FTI</f>
        <v>0</v>
      </c>
      <c r="E17" s="218">
        <f>[0]!LABA048270col_FTI_SALARY_ELECT</f>
        <v>0</v>
      </c>
      <c r="F17" s="218">
        <f>[0]!LABA048270col_HEALTH_ELECT</f>
        <v>0</v>
      </c>
      <c r="G17" s="218">
        <f>[0]!LABA048270col_TOT_VB_ELECT</f>
        <v>0</v>
      </c>
      <c r="H17" s="219">
        <f>SUM(E17:G17)</f>
        <v>0</v>
      </c>
      <c r="I17" s="268"/>
      <c r="J17" s="218">
        <f>[0]!LABA048270col_HEALTH_ELECT_CHG</f>
        <v>0</v>
      </c>
      <c r="K17" s="218">
        <f>[0]!LABA048270col_TOT_VB_ELECT_CHG</f>
        <v>0</v>
      </c>
      <c r="L17" s="219">
        <f>SUM(J17:K17)</f>
        <v>0</v>
      </c>
    </row>
    <row r="18" spans="1:12" x14ac:dyDescent="0.25">
      <c r="A18" s="406" t="s">
        <v>30</v>
      </c>
      <c r="B18" s="407"/>
      <c r="C18" s="217"/>
      <c r="D18" s="220">
        <f>SUM(D15:D17)</f>
        <v>3.77</v>
      </c>
      <c r="E18" s="221">
        <f>SUM(E15:E17)</f>
        <v>418359.96</v>
      </c>
      <c r="F18" s="221">
        <f>SUM(F15:F17)</f>
        <v>47125</v>
      </c>
      <c r="G18" s="221">
        <f>SUM(G15:G17)</f>
        <v>82813.304131600002</v>
      </c>
      <c r="H18" s="219">
        <f>SUM(E18:G18)</f>
        <v>548298.26413160004</v>
      </c>
      <c r="I18" s="268"/>
      <c r="J18" s="219">
        <f>SUM(J15:J17)</f>
        <v>4712.5</v>
      </c>
      <c r="K18" s="219">
        <f>SUM(K15:K17)</f>
        <v>-3355.5516600000046</v>
      </c>
      <c r="L18" s="219">
        <f>SUM(L15:L17)</f>
        <v>1356.9483399999954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"&amp;'LABB|0482-00'!FiscalYear-1</f>
        <v>FY 2023</v>
      </c>
      <c r="B20" s="158" t="s">
        <v>31</v>
      </c>
      <c r="C20" s="355">
        <v>577900</v>
      </c>
      <c r="D20" s="55">
        <v>3.15</v>
      </c>
      <c r="E20" s="223">
        <f>IF('LABB|0482-00'!OrigApprop=0,0,(E18/H18)*'LABB|0482-00'!OrigApprop)</f>
        <v>440946.53713142418</v>
      </c>
      <c r="F20" s="223">
        <f>IF('LABB|0482-00'!OrigApprop=0,0,(F18/H18)*'LABB|0482-00'!OrigApprop)</f>
        <v>49669.202478933134</v>
      </c>
      <c r="G20" s="223">
        <f>IF(E20=0,0,(G18/H18)*'LABB|0482-00'!OrigApprop)</f>
        <v>87284.260389642659</v>
      </c>
      <c r="H20" s="223">
        <f>SUM(E20:G20)</f>
        <v>577900</v>
      </c>
      <c r="I20" s="268"/>
      <c r="J20" s="224"/>
      <c r="K20" s="224"/>
      <c r="L20" s="224"/>
    </row>
    <row r="21" spans="1:12" x14ac:dyDescent="0.25">
      <c r="A21" s="424" t="s">
        <v>32</v>
      </c>
      <c r="B21" s="425"/>
      <c r="C21" s="160" t="s">
        <v>33</v>
      </c>
      <c r="D21" s="161">
        <f>D20-D18</f>
        <v>-0.62000000000000011</v>
      </c>
      <c r="E21" s="162">
        <f>E20-E18</f>
        <v>22586.577131424157</v>
      </c>
      <c r="F21" s="162">
        <f>F20-F18</f>
        <v>2544.2024789331335</v>
      </c>
      <c r="G21" s="162">
        <f>G20-G18</f>
        <v>4470.9562580426573</v>
      </c>
      <c r="H21" s="162">
        <f>H20-H18</f>
        <v>29601.735868399963</v>
      </c>
      <c r="I21" s="269"/>
      <c r="J21" s="56" t="str">
        <f>IF('LABB|0482-00'!OrigApprop=0,"No Original Appropriation amount in DU 3.00 for this fund","Calculated "&amp;IF('LABB|0482-00'!AdjustedTotal&gt;0,"overfunding ","underfunding ")&amp;"is "&amp;TEXT('LABB|0482-00'!AdjustedTotal/'LABB|0482-00'!AppropTotal,"#.0%;(#.0% );0% ;")&amp;" of Original Appropriation")</f>
        <v>Calculated overfunding is 5.1% of Original Appropriation</v>
      </c>
      <c r="K21" s="163"/>
      <c r="L21" s="164"/>
    </row>
  </sheetData>
  <mergeCells count="14">
    <mergeCell ref="A17:B17"/>
    <mergeCell ref="A18:B18"/>
    <mergeCell ref="A21:B21"/>
    <mergeCell ref="A10:B10"/>
    <mergeCell ref="A13:B13"/>
    <mergeCell ref="A14:B14"/>
    <mergeCell ref="A15:B15"/>
    <mergeCell ref="A16:B16"/>
    <mergeCell ref="A7:B7"/>
    <mergeCell ref="A2:B2"/>
    <mergeCell ref="A3:B3"/>
    <mergeCell ref="A4:B4"/>
    <mergeCell ref="A5:B5"/>
    <mergeCell ref="A6:B6"/>
  </mergeCells>
  <conditionalFormatting sqref="J10">
    <cfRule type="expression" dxfId="1" priority="4">
      <formula>$J$16&lt;0</formula>
    </cfRule>
  </conditionalFormatting>
  <conditionalFormatting sqref="J21">
    <cfRule type="expression" dxfId="0" priority="3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Board of Land Commissioners&amp;R&amp;"Arial"&amp;10 Agency 322</oddHeader>
    <oddFooter>&amp;L&amp;"Arial"&amp;10 B6:Summary by Program, by Fund&amp;R&amp;"Arial"&amp;10 FY 2023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6" bestFit="1" customWidth="1"/>
    <col min="6" max="6" width="11.85546875" bestFit="1" customWidth="1"/>
    <col min="7" max="7" width="14.5703125" bestFit="1" customWidth="1"/>
    <col min="8" max="8" width="11.85546875" bestFit="1" customWidth="1"/>
    <col min="9" max="9" width="16" bestFit="1" customWidth="1"/>
    <col min="10" max="10" width="17.7109375" bestFit="1" customWidth="1"/>
    <col min="11" max="11" width="11.8554687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289</v>
      </c>
      <c r="G5" s="478"/>
      <c r="H5" s="479" t="s">
        <v>287</v>
      </c>
      <c r="I5" s="478" t="s">
        <v>290</v>
      </c>
      <c r="J5" s="478"/>
      <c r="K5" s="479" t="s">
        <v>288</v>
      </c>
      <c r="L5" s="478" t="s">
        <v>291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292</v>
      </c>
      <c r="D7" s="250"/>
    </row>
    <row r="8" spans="1:13" x14ac:dyDescent="0.25">
      <c r="C8" t="s">
        <v>278</v>
      </c>
      <c r="D8" s="250"/>
      <c r="E8" s="403">
        <f>Data!AS26</f>
        <v>0.23</v>
      </c>
      <c r="F8" s="403">
        <f>Data!AT26</f>
        <v>53299.93</v>
      </c>
      <c r="G8" s="403">
        <f>Data!AU26</f>
        <v>13054.63</v>
      </c>
      <c r="H8" s="403">
        <f>Data!AV26</f>
        <v>54049.63</v>
      </c>
      <c r="I8" s="403">
        <f>Data!AW26</f>
        <v>2875</v>
      </c>
      <c r="J8" s="403">
        <f>Data!AX26</f>
        <v>9857.8499573000008</v>
      </c>
      <c r="K8" s="403">
        <f>Data!AY26</f>
        <v>54049.63</v>
      </c>
      <c r="L8" s="403">
        <f>Data!AZ26</f>
        <v>3162.5</v>
      </c>
      <c r="M8" s="403">
        <f>Data!BA26</f>
        <v>9458.3201023000001</v>
      </c>
    </row>
    <row r="9" spans="1:13" x14ac:dyDescent="0.25">
      <c r="B9" t="s">
        <v>293</v>
      </c>
      <c r="D9" s="250"/>
      <c r="E9" s="404">
        <f>Data!AS27</f>
        <v>0.23</v>
      </c>
      <c r="F9" s="404">
        <f>Data!AT27</f>
        <v>53299.93</v>
      </c>
      <c r="G9" s="404">
        <f>Data!AU27</f>
        <v>13054.63</v>
      </c>
      <c r="H9" s="404">
        <f>Data!AV27</f>
        <v>54049.63</v>
      </c>
      <c r="I9" s="404">
        <f>Data!AW27</f>
        <v>2875</v>
      </c>
      <c r="J9" s="404">
        <f>Data!AX27</f>
        <v>9857.8499573000008</v>
      </c>
      <c r="K9" s="404">
        <f>Data!AY27</f>
        <v>54049.63</v>
      </c>
      <c r="L9" s="404">
        <f>Data!AZ27</f>
        <v>3162.5</v>
      </c>
      <c r="M9" s="404">
        <f>Data!BA27</f>
        <v>9458.3201023000001</v>
      </c>
    </row>
    <row r="10" spans="1:13" x14ac:dyDescent="0.25">
      <c r="C10" t="s">
        <v>294</v>
      </c>
      <c r="D10" s="250"/>
      <c r="E10" s="403">
        <f>Data!AS28</f>
        <v>3.77</v>
      </c>
      <c r="F10" s="403">
        <f>Data!AT28</f>
        <v>385307.5</v>
      </c>
      <c r="G10" s="403">
        <f>Data!AU28</f>
        <v>121726.01000000001</v>
      </c>
      <c r="H10" s="403">
        <f>Data!AV28</f>
        <v>418359.96</v>
      </c>
      <c r="I10" s="403">
        <f>Data!AW28</f>
        <v>47125</v>
      </c>
      <c r="J10" s="403">
        <f>Data!AX28</f>
        <v>82813.304131600002</v>
      </c>
      <c r="K10" s="403">
        <f>Data!AY28</f>
        <v>418359.96</v>
      </c>
      <c r="L10" s="403">
        <f>Data!AZ28</f>
        <v>51837.5</v>
      </c>
      <c r="M10" s="403">
        <f>Data!BA28</f>
        <v>79457.752471600004</v>
      </c>
    </row>
    <row r="11" spans="1:13" x14ac:dyDescent="0.25">
      <c r="B11" t="s">
        <v>295</v>
      </c>
      <c r="D11" s="250"/>
      <c r="E11" s="404">
        <f>Data!AS29</f>
        <v>3.77</v>
      </c>
      <c r="F11" s="404">
        <f>Data!AT29</f>
        <v>385307.5</v>
      </c>
      <c r="G11" s="404">
        <f>Data!AU29</f>
        <v>121726.01000000001</v>
      </c>
      <c r="H11" s="404">
        <f>Data!AV29</f>
        <v>418359.96</v>
      </c>
      <c r="I11" s="404">
        <f>Data!AW29</f>
        <v>47125</v>
      </c>
      <c r="J11" s="404">
        <f>Data!AX29</f>
        <v>82813.304131600002</v>
      </c>
      <c r="K11" s="404">
        <f>Data!AY29</f>
        <v>418359.96</v>
      </c>
      <c r="L11" s="404">
        <f>Data!AZ29</f>
        <v>51837.5</v>
      </c>
      <c r="M11" s="404">
        <f>Data!BA29</f>
        <v>79457.752471600004</v>
      </c>
    </row>
    <row r="12" spans="1:13" x14ac:dyDescent="0.25">
      <c r="D12" s="250"/>
      <c r="E12" s="403">
        <f>Data!AS30</f>
        <v>0</v>
      </c>
      <c r="F12" s="403">
        <f>Data!AT30</f>
        <v>0</v>
      </c>
      <c r="G12" s="403">
        <f>Data!AU30</f>
        <v>0</v>
      </c>
      <c r="H12" s="403">
        <f>Data!AV30</f>
        <v>0</v>
      </c>
      <c r="I12" s="403">
        <f>Data!AW30</f>
        <v>0</v>
      </c>
      <c r="J12" s="403">
        <f>Data!AX30</f>
        <v>0</v>
      </c>
      <c r="K12" s="403">
        <f>Data!AY30</f>
        <v>0</v>
      </c>
      <c r="L12" s="403">
        <f>Data!AZ30</f>
        <v>0</v>
      </c>
      <c r="M12" s="403">
        <f>Data!BA30</f>
        <v>0</v>
      </c>
    </row>
    <row r="13" spans="1:13" x14ac:dyDescent="0.25">
      <c r="A13" s="397" t="s">
        <v>296</v>
      </c>
      <c r="D13" s="250"/>
      <c r="E13" s="405">
        <f>Data!AS31</f>
        <v>4</v>
      </c>
      <c r="F13" s="405">
        <f>Data!AT31</f>
        <v>438607.43</v>
      </c>
      <c r="G13" s="405">
        <f>Data!AU31</f>
        <v>134780.64000000001</v>
      </c>
      <c r="H13" s="405">
        <f>Data!AV31</f>
        <v>472409.59</v>
      </c>
      <c r="I13" s="405">
        <f>Data!AW31</f>
        <v>50000</v>
      </c>
      <c r="J13" s="405">
        <f>Data!AX31</f>
        <v>92671.154088900003</v>
      </c>
      <c r="K13" s="405">
        <f>Data!AY31</f>
        <v>472409.59</v>
      </c>
      <c r="L13" s="405">
        <f>Data!AZ31</f>
        <v>55000</v>
      </c>
      <c r="M13" s="405">
        <f>Data!BA31</f>
        <v>88916.072573900004</v>
      </c>
    </row>
    <row r="14" spans="1:13" x14ac:dyDescent="0.25">
      <c r="E14" s="403">
        <f>Data!AS32</f>
        <v>0</v>
      </c>
      <c r="F14" s="403">
        <f>Data!AT32</f>
        <v>0</v>
      </c>
      <c r="G14" s="403">
        <f>Data!AU32</f>
        <v>0</v>
      </c>
      <c r="H14" s="403">
        <f>Data!AV32</f>
        <v>0</v>
      </c>
      <c r="I14" s="403">
        <f>Data!AW32</f>
        <v>0</v>
      </c>
      <c r="J14" s="403">
        <f>Data!AX32</f>
        <v>0</v>
      </c>
      <c r="K14" s="403">
        <f>Data!AY32</f>
        <v>0</v>
      </c>
      <c r="L14" s="403">
        <f>Data!AZ32</f>
        <v>0</v>
      </c>
      <c r="M14" s="403">
        <f>Data!BA32</f>
        <v>0</v>
      </c>
    </row>
    <row r="15" spans="1:13" x14ac:dyDescent="0.25">
      <c r="A15" s="393" t="s">
        <v>297</v>
      </c>
      <c r="E15" s="403">
        <f>Data!AS33</f>
        <v>0</v>
      </c>
      <c r="F15" s="403">
        <f>Data!AT33</f>
        <v>0</v>
      </c>
      <c r="G15" s="403">
        <f>Data!AU33</f>
        <v>0</v>
      </c>
      <c r="H15" s="403">
        <f>Data!AV33</f>
        <v>0</v>
      </c>
      <c r="I15" s="403">
        <f>Data!AW33</f>
        <v>0</v>
      </c>
      <c r="J15" s="403">
        <f>Data!AX33</f>
        <v>0</v>
      </c>
      <c r="K15" s="403">
        <f>Data!AY33</f>
        <v>0</v>
      </c>
      <c r="L15" s="403">
        <f>Data!AZ33</f>
        <v>0</v>
      </c>
      <c r="M15" s="403">
        <f>Data!BA33</f>
        <v>0</v>
      </c>
    </row>
    <row r="16" spans="1:13" x14ac:dyDescent="0.25">
      <c r="C16" t="s">
        <v>278</v>
      </c>
      <c r="E16" s="403">
        <f>Data!AS34</f>
        <v>0</v>
      </c>
      <c r="F16" s="403">
        <f>Data!AT34</f>
        <v>3100</v>
      </c>
      <c r="G16" s="403">
        <f>Data!AU34</f>
        <v>237.35</v>
      </c>
      <c r="H16" s="403">
        <f>Data!AV34</f>
        <v>3100</v>
      </c>
      <c r="I16" s="403">
        <f>Data!AW34</f>
        <v>0</v>
      </c>
      <c r="J16" s="403">
        <f>Data!AX34</f>
        <v>237.35</v>
      </c>
      <c r="K16" s="403">
        <f>Data!AY34</f>
        <v>3100</v>
      </c>
      <c r="L16" s="403">
        <f>Data!AZ34</f>
        <v>0</v>
      </c>
      <c r="M16" s="403">
        <f>Data!BA34</f>
        <v>237.35</v>
      </c>
    </row>
    <row r="17" spans="1:13" x14ac:dyDescent="0.25">
      <c r="B17" t="s">
        <v>293</v>
      </c>
      <c r="E17" s="404">
        <f>Data!AS35</f>
        <v>0</v>
      </c>
      <c r="F17" s="404">
        <f>Data!AT35</f>
        <v>3100</v>
      </c>
      <c r="G17" s="404">
        <f>Data!AU35</f>
        <v>237.35</v>
      </c>
      <c r="H17" s="404">
        <f>Data!AV35</f>
        <v>3100</v>
      </c>
      <c r="I17" s="404">
        <f>Data!AW35</f>
        <v>0</v>
      </c>
      <c r="J17" s="404">
        <f>Data!AX35</f>
        <v>237.35</v>
      </c>
      <c r="K17" s="404">
        <f>Data!AY35</f>
        <v>3100</v>
      </c>
      <c r="L17" s="404">
        <f>Data!AZ35</f>
        <v>0</v>
      </c>
      <c r="M17" s="404">
        <f>Data!BA35</f>
        <v>237.35</v>
      </c>
    </row>
    <row r="18" spans="1:13" x14ac:dyDescent="0.25">
      <c r="E18" s="403">
        <f>Data!AS36</f>
        <v>0</v>
      </c>
      <c r="F18" s="403">
        <f>Data!AT36</f>
        <v>0</v>
      </c>
      <c r="G18" s="403">
        <f>Data!AU36</f>
        <v>0</v>
      </c>
      <c r="H18" s="403">
        <f>Data!AV36</f>
        <v>0</v>
      </c>
      <c r="I18" s="403">
        <f>Data!AW36</f>
        <v>0</v>
      </c>
      <c r="J18" s="403">
        <f>Data!AX36</f>
        <v>0</v>
      </c>
      <c r="K18" s="403">
        <f>Data!AY36</f>
        <v>0</v>
      </c>
      <c r="L18" s="403">
        <f>Data!AZ36</f>
        <v>0</v>
      </c>
      <c r="M18" s="403">
        <f>Data!BA36</f>
        <v>0</v>
      </c>
    </row>
    <row r="19" spans="1:13" x14ac:dyDescent="0.25">
      <c r="A19" s="397" t="s">
        <v>298</v>
      </c>
      <c r="E19" s="405">
        <f>Data!AS37</f>
        <v>0</v>
      </c>
      <c r="F19" s="405">
        <f>Data!AT37</f>
        <v>3100</v>
      </c>
      <c r="G19" s="405">
        <f>Data!AU37</f>
        <v>237.35</v>
      </c>
      <c r="H19" s="405">
        <f>Data!AV37</f>
        <v>3100</v>
      </c>
      <c r="I19" s="405">
        <f>Data!AW37</f>
        <v>0</v>
      </c>
      <c r="J19" s="405">
        <f>Data!AX37</f>
        <v>237.35</v>
      </c>
      <c r="K19" s="405">
        <f>Data!AY37</f>
        <v>3100</v>
      </c>
      <c r="L19" s="405">
        <f>Data!AZ37</f>
        <v>0</v>
      </c>
      <c r="M19" s="405">
        <f>Data!BA37</f>
        <v>237.35</v>
      </c>
    </row>
    <row r="20" spans="1:13" x14ac:dyDescent="0.25">
      <c r="E20" s="403">
        <f>Data!AS38</f>
        <v>0</v>
      </c>
      <c r="F20" s="403">
        <f>Data!AT38</f>
        <v>0</v>
      </c>
      <c r="G20" s="403">
        <f>Data!AU38</f>
        <v>0</v>
      </c>
      <c r="H20" s="403">
        <f>Data!AV38</f>
        <v>0</v>
      </c>
      <c r="I20" s="403">
        <f>Data!AW38</f>
        <v>0</v>
      </c>
      <c r="J20" s="403">
        <f>Data!AX38</f>
        <v>0</v>
      </c>
      <c r="K20" s="403">
        <f>Data!AY38</f>
        <v>0</v>
      </c>
      <c r="L20" s="403">
        <f>Data!AZ38</f>
        <v>0</v>
      </c>
      <c r="M20" s="403">
        <f>Data!BA38</f>
        <v>0</v>
      </c>
    </row>
    <row r="21" spans="1:13" x14ac:dyDescent="0.25">
      <c r="A21" s="398" t="s">
        <v>299</v>
      </c>
      <c r="E21" s="401">
        <f>Data!AS39</f>
        <v>4</v>
      </c>
      <c r="F21" s="402">
        <f>Data!AT39</f>
        <v>441707.43</v>
      </c>
      <c r="G21" s="402">
        <f>Data!AU39</f>
        <v>135017.99000000002</v>
      </c>
      <c r="H21" s="402">
        <f>Data!AV39</f>
        <v>475509.59</v>
      </c>
      <c r="I21" s="402">
        <f>Data!AW39</f>
        <v>50000</v>
      </c>
      <c r="J21" s="402">
        <f>Data!AX39</f>
        <v>92908.504088900008</v>
      </c>
      <c r="K21" s="402">
        <f>Data!AY39</f>
        <v>475509.59</v>
      </c>
      <c r="L21" s="402">
        <f>Data!AZ39</f>
        <v>55000</v>
      </c>
      <c r="M21" s="402">
        <f>Data!BA39</f>
        <v>89153.42257390001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2" orientation="landscape" horizontalDpi="1200" verticalDpi="1200" r:id="rId1"/>
  <headerFooter>
    <oddHeader>&amp;L&amp;"Arial"&amp;14 Board of Land Commissioners&amp;R&amp;"Arial"&amp;10 Agency 322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LABA|0349-00</vt:lpstr>
      <vt:lpstr>LABB|0482-00</vt:lpstr>
      <vt:lpstr>Data</vt:lpstr>
      <vt:lpstr>Benefits</vt:lpstr>
      <vt:lpstr>B6</vt:lpstr>
      <vt:lpstr>Summary</vt:lpstr>
      <vt:lpstr>FundSummary</vt:lpstr>
      <vt:lpstr>'LABA|0349-00'!AdjGroupHlth</vt:lpstr>
      <vt:lpstr>'LABB|0482-00'!AdjGroupHlth</vt:lpstr>
      <vt:lpstr>AdjGroupHlth</vt:lpstr>
      <vt:lpstr>'LABA|0349-00'!AdjGroupSalary</vt:lpstr>
      <vt:lpstr>'LABB|0482-00'!AdjGroupSalary</vt:lpstr>
      <vt:lpstr>AdjGroupSalary</vt:lpstr>
      <vt:lpstr>'LABA|0349-00'!AdjGroupVB</vt:lpstr>
      <vt:lpstr>'LABB|0482-00'!AdjGroupVB</vt:lpstr>
      <vt:lpstr>AdjGroupVB</vt:lpstr>
      <vt:lpstr>'LABA|0349-00'!AdjGroupVBBY</vt:lpstr>
      <vt:lpstr>'LABB|0482-00'!AdjGroupVBBY</vt:lpstr>
      <vt:lpstr>AdjGroupVBBY</vt:lpstr>
      <vt:lpstr>'LABA|0349-00'!AdjPermHlth</vt:lpstr>
      <vt:lpstr>'LABB|0482-00'!AdjPermHlth</vt:lpstr>
      <vt:lpstr>AdjPermHlth</vt:lpstr>
      <vt:lpstr>'LABA|0349-00'!AdjPermHlthBY</vt:lpstr>
      <vt:lpstr>'LABB|0482-00'!AdjPermHlthBY</vt:lpstr>
      <vt:lpstr>AdjPermHlthBY</vt:lpstr>
      <vt:lpstr>'LABA|0349-00'!AdjPermSalary</vt:lpstr>
      <vt:lpstr>'LABB|0482-00'!AdjPermSalary</vt:lpstr>
      <vt:lpstr>AdjPermSalary</vt:lpstr>
      <vt:lpstr>'LABA|0349-00'!AdjPermVB</vt:lpstr>
      <vt:lpstr>'LABB|0482-00'!AdjPermVB</vt:lpstr>
      <vt:lpstr>AdjPermVB</vt:lpstr>
      <vt:lpstr>'LABA|0349-00'!AdjPermVBBY</vt:lpstr>
      <vt:lpstr>'LABB|0482-00'!AdjPermVBBY</vt:lpstr>
      <vt:lpstr>AdjPermVBBY</vt:lpstr>
      <vt:lpstr>'LABA|0349-00'!AdjustedTotal</vt:lpstr>
      <vt:lpstr>'LABB|0482-00'!AdjustedTotal</vt:lpstr>
      <vt:lpstr>AdjustedTotal</vt:lpstr>
      <vt:lpstr>'LABA|0349-00'!AgencyNum</vt:lpstr>
      <vt:lpstr>'LABB|0482-00'!AgencyNum</vt:lpstr>
      <vt:lpstr>AgencyNum</vt:lpstr>
      <vt:lpstr>'LABA|0349-00'!AppropFTP</vt:lpstr>
      <vt:lpstr>'LABB|0482-00'!AppropFTP</vt:lpstr>
      <vt:lpstr>AppropFTP</vt:lpstr>
      <vt:lpstr>'LABA|0349-00'!AppropTotal</vt:lpstr>
      <vt:lpstr>'LABB|0482-00'!AppropTotal</vt:lpstr>
      <vt:lpstr>AppropTotal</vt:lpstr>
      <vt:lpstr>'LABA|0349-00'!AtZHealth</vt:lpstr>
      <vt:lpstr>'LABB|0482-00'!AtZHealth</vt:lpstr>
      <vt:lpstr>AtZHealth</vt:lpstr>
      <vt:lpstr>'LABA|0349-00'!AtZSalary</vt:lpstr>
      <vt:lpstr>'LABB|0482-00'!AtZSalary</vt:lpstr>
      <vt:lpstr>AtZSalary</vt:lpstr>
      <vt:lpstr>'LABA|0349-00'!AtZTotal</vt:lpstr>
      <vt:lpstr>'LABB|0482-00'!AtZTotal</vt:lpstr>
      <vt:lpstr>AtZTotal</vt:lpstr>
      <vt:lpstr>'LABA|0349-00'!AtZVarBen</vt:lpstr>
      <vt:lpstr>'LABB|0482-00'!AtZVarBen</vt:lpstr>
      <vt:lpstr>AtZVarBen</vt:lpstr>
      <vt:lpstr>'LABA|0349-00'!BudgetUnit</vt:lpstr>
      <vt:lpstr>'LABB|0482-00'!BudgetUnit</vt:lpstr>
      <vt:lpstr>BudgetUnit</vt:lpstr>
      <vt:lpstr>BudgetYear</vt:lpstr>
      <vt:lpstr>CECGroup</vt:lpstr>
      <vt:lpstr>'LABA|0349-00'!CECOrigElectSalary</vt:lpstr>
      <vt:lpstr>'LABB|0482-00'!CECOrigElectSalary</vt:lpstr>
      <vt:lpstr>CECOrigElectSalary</vt:lpstr>
      <vt:lpstr>'LABA|0349-00'!CECOrigElectVB</vt:lpstr>
      <vt:lpstr>'LABB|0482-00'!CECOrigElectVB</vt:lpstr>
      <vt:lpstr>CECOrigElectVB</vt:lpstr>
      <vt:lpstr>'LABA|0349-00'!CECOrigGroupSalary</vt:lpstr>
      <vt:lpstr>'LABB|0482-00'!CECOrigGroupSalary</vt:lpstr>
      <vt:lpstr>CECOrigGroupSalary</vt:lpstr>
      <vt:lpstr>'LABA|0349-00'!CECOrigGroupVB</vt:lpstr>
      <vt:lpstr>'LABB|0482-00'!CECOrigGroupVB</vt:lpstr>
      <vt:lpstr>CECOrigGroupVB</vt:lpstr>
      <vt:lpstr>'LABA|0349-00'!CECOrigPermSalary</vt:lpstr>
      <vt:lpstr>'LABB|0482-00'!CECOrigPermSalary</vt:lpstr>
      <vt:lpstr>CECOrigPermSalary</vt:lpstr>
      <vt:lpstr>'LABA|0349-00'!CECOrigPermVB</vt:lpstr>
      <vt:lpstr>'LABB|0482-00'!CECOrigPermVB</vt:lpstr>
      <vt:lpstr>CECOrigPermVB</vt:lpstr>
      <vt:lpstr>CECPerm</vt:lpstr>
      <vt:lpstr>'LABA|0349-00'!CECpermCalc</vt:lpstr>
      <vt:lpstr>'LABB|0482-00'!CECpermCalc</vt:lpstr>
      <vt:lpstr>CECpermCalc</vt:lpstr>
      <vt:lpstr>'LABA|0349-00'!Department</vt:lpstr>
      <vt:lpstr>'LABB|0482-00'!Department</vt:lpstr>
      <vt:lpstr>Department</vt:lpstr>
      <vt:lpstr>DHR</vt:lpstr>
      <vt:lpstr>DHRBY</vt:lpstr>
      <vt:lpstr>DHRCHG</vt:lpstr>
      <vt:lpstr>'LABA|0349-00'!Division</vt:lpstr>
      <vt:lpstr>'LABB|0482-00'!Division</vt:lpstr>
      <vt:lpstr>Division</vt:lpstr>
      <vt:lpstr>'LABA|0349-00'!DUCECElect</vt:lpstr>
      <vt:lpstr>'LABB|0482-00'!DUCECElect</vt:lpstr>
      <vt:lpstr>DUCECElect</vt:lpstr>
      <vt:lpstr>'LABA|0349-00'!DUCECGroup</vt:lpstr>
      <vt:lpstr>'LABB|0482-00'!DUCECGroup</vt:lpstr>
      <vt:lpstr>DUCECGroup</vt:lpstr>
      <vt:lpstr>'LABA|0349-00'!DUCECPerm</vt:lpstr>
      <vt:lpstr>'LABB|0482-00'!DUCECPerm</vt:lpstr>
      <vt:lpstr>DUCECPerm</vt:lpstr>
      <vt:lpstr>'LABA|0349-00'!DUEleven</vt:lpstr>
      <vt:lpstr>'LABB|0482-00'!DUEleven</vt:lpstr>
      <vt:lpstr>DUEleven</vt:lpstr>
      <vt:lpstr>'LABA|0349-00'!DUHealthBen</vt:lpstr>
      <vt:lpstr>'LABB|0482-00'!DUHealthBen</vt:lpstr>
      <vt:lpstr>DUHealthBen</vt:lpstr>
      <vt:lpstr>'LABA|0349-00'!DUNine</vt:lpstr>
      <vt:lpstr>'LABB|0482-00'!DUNine</vt:lpstr>
      <vt:lpstr>DUNine</vt:lpstr>
      <vt:lpstr>'LABA|0349-00'!DUThirteen</vt:lpstr>
      <vt:lpstr>'LABB|0482-00'!DUThirteen</vt:lpstr>
      <vt:lpstr>DUThirteen</vt:lpstr>
      <vt:lpstr>'LABA|0349-00'!DUVariableBen</vt:lpstr>
      <vt:lpstr>'LABB|0482-00'!DUVariableBen</vt:lpstr>
      <vt:lpstr>DUVariableBen</vt:lpstr>
      <vt:lpstr>'LABA|0349-00'!Elect_chg_health</vt:lpstr>
      <vt:lpstr>'LABB|0482-00'!Elect_chg_health</vt:lpstr>
      <vt:lpstr>Elect_chg_health</vt:lpstr>
      <vt:lpstr>'LABA|0349-00'!Elect_chg_Var</vt:lpstr>
      <vt:lpstr>'LABB|0482-00'!Elect_chg_Var</vt:lpstr>
      <vt:lpstr>Elect_chg_Var</vt:lpstr>
      <vt:lpstr>'LABA|0349-00'!elect_FTP</vt:lpstr>
      <vt:lpstr>'LABB|0482-00'!elect_FTP</vt:lpstr>
      <vt:lpstr>elect_FTP</vt:lpstr>
      <vt:lpstr>'LABA|0349-00'!Elect_health</vt:lpstr>
      <vt:lpstr>'LABB|0482-00'!Elect_health</vt:lpstr>
      <vt:lpstr>Elect_health</vt:lpstr>
      <vt:lpstr>'LABA|0349-00'!Elect_name</vt:lpstr>
      <vt:lpstr>'LABB|0482-00'!Elect_name</vt:lpstr>
      <vt:lpstr>Elect_name</vt:lpstr>
      <vt:lpstr>'LABA|0349-00'!Elect_salary</vt:lpstr>
      <vt:lpstr>'LABB|0482-00'!Elect_salary</vt:lpstr>
      <vt:lpstr>Elect_salary</vt:lpstr>
      <vt:lpstr>'LABA|0349-00'!Elect_Var</vt:lpstr>
      <vt:lpstr>'LABB|0482-00'!Elect_Var</vt:lpstr>
      <vt:lpstr>Elect_Var</vt:lpstr>
      <vt:lpstr>'LABA|0349-00'!Elect_VarBen</vt:lpstr>
      <vt:lpstr>'LABB|0482-00'!Elect_VarBen</vt:lpstr>
      <vt:lpstr>Elect_VarBen</vt:lpstr>
      <vt:lpstr>ElectVB</vt:lpstr>
      <vt:lpstr>ElectVBBY</vt:lpstr>
      <vt:lpstr>ElectVBCHG</vt:lpstr>
      <vt:lpstr>FillRate_Avg</vt:lpstr>
      <vt:lpstr>'LABA|0349-00'!FiscalYear</vt:lpstr>
      <vt:lpstr>'LABB|0482-00'!FiscalYear</vt:lpstr>
      <vt:lpstr>FiscalYear</vt:lpstr>
      <vt:lpstr>'LABA|0349-00'!FundName</vt:lpstr>
      <vt:lpstr>'LABB|0482-00'!FundName</vt:lpstr>
      <vt:lpstr>FundName</vt:lpstr>
      <vt:lpstr>'LABA|0349-00'!FundNum</vt:lpstr>
      <vt:lpstr>'LABB|0482-00'!FundNum</vt:lpstr>
      <vt:lpstr>FundNum</vt:lpstr>
      <vt:lpstr>'LABA|0349-00'!FundNumber</vt:lpstr>
      <vt:lpstr>'LABB|0482-00'!FundNumber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'LABA|0349-00'!Group_name</vt:lpstr>
      <vt:lpstr>'LABB|0482-00'!Group_name</vt:lpstr>
      <vt:lpstr>Group_name</vt:lpstr>
      <vt:lpstr>'LABA|0349-00'!GroupFxdBen</vt:lpstr>
      <vt:lpstr>'LABB|0482-00'!GroupFxdBen</vt:lpstr>
      <vt:lpstr>GroupFxdBen</vt:lpstr>
      <vt:lpstr>'LABA|0349-00'!GroupSalary</vt:lpstr>
      <vt:lpstr>'LABB|0482-00'!GroupSalary</vt:lpstr>
      <vt:lpstr>GroupSalary</vt:lpstr>
      <vt:lpstr>'LABA|0349-00'!GroupVarBen</vt:lpstr>
      <vt:lpstr>'LABB|0482-00'!GroupVarBen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LABA034900col_1_27TH_PP</vt:lpstr>
      <vt:lpstr>LABA034900col_DHR</vt:lpstr>
      <vt:lpstr>LABA034900col_DHR_BY</vt:lpstr>
      <vt:lpstr>LABA034900col_DHR_CHG</vt:lpstr>
      <vt:lpstr>LABA034900col_FTI_SALARY_ELECT</vt:lpstr>
      <vt:lpstr>LABA034900col_FTI_SALARY_PERM</vt:lpstr>
      <vt:lpstr>LABA034900col_FTI_SALARY_SSDI</vt:lpstr>
      <vt:lpstr>LABA034900col_Group_Ben</vt:lpstr>
      <vt:lpstr>LABA034900col_Group_Salary</vt:lpstr>
      <vt:lpstr>LABA034900col_HEALTH_ELECT</vt:lpstr>
      <vt:lpstr>LABA034900col_HEALTH_ELECT_BY</vt:lpstr>
      <vt:lpstr>LABA034900col_HEALTH_ELECT_CHG</vt:lpstr>
      <vt:lpstr>LABA034900col_HEALTH_PERM</vt:lpstr>
      <vt:lpstr>LABA034900col_HEALTH_PERM_BY</vt:lpstr>
      <vt:lpstr>LABA034900col_HEALTH_PERM_CHG</vt:lpstr>
      <vt:lpstr>LABA034900col_INC_FTI</vt:lpstr>
      <vt:lpstr>LABA034900col_LIFE_INS</vt:lpstr>
      <vt:lpstr>LABA034900col_LIFE_INS_BY</vt:lpstr>
      <vt:lpstr>LABA034900col_LIFE_INS_CHG</vt:lpstr>
      <vt:lpstr>LABA034900col_RETIREMENT</vt:lpstr>
      <vt:lpstr>LABA034900col_RETIREMENT_BY</vt:lpstr>
      <vt:lpstr>LABA034900col_RETIREMENT_CHG</vt:lpstr>
      <vt:lpstr>LABA034900col_ROWS_PER_PCN</vt:lpstr>
      <vt:lpstr>LABA034900col_SICK</vt:lpstr>
      <vt:lpstr>LABA034900col_SICK_BY</vt:lpstr>
      <vt:lpstr>LABA034900col_SICK_CHG</vt:lpstr>
      <vt:lpstr>LABA034900col_SSDI</vt:lpstr>
      <vt:lpstr>LABA034900col_SSDI_BY</vt:lpstr>
      <vt:lpstr>LABA034900col_SSDI_CHG</vt:lpstr>
      <vt:lpstr>LABA034900col_SSHI</vt:lpstr>
      <vt:lpstr>LABA034900col_SSHI_BY</vt:lpstr>
      <vt:lpstr>LABA034900col_SSHI_CHGv</vt:lpstr>
      <vt:lpstr>LABA034900col_TOT_VB_ELECT</vt:lpstr>
      <vt:lpstr>LABA034900col_TOT_VB_ELECT_BY</vt:lpstr>
      <vt:lpstr>LABA034900col_TOT_VB_ELECT_CHG</vt:lpstr>
      <vt:lpstr>LABA034900col_TOT_VB_PERM</vt:lpstr>
      <vt:lpstr>LABA034900col_TOT_VB_PERM_BY</vt:lpstr>
      <vt:lpstr>LABA034900col_TOT_VB_PERM_CHG</vt:lpstr>
      <vt:lpstr>LABA034900col_TOTAL_ELECT_PCN_FTI</vt:lpstr>
      <vt:lpstr>LABA034900col_TOTAL_ELECT_PCN_FTI_ALT</vt:lpstr>
      <vt:lpstr>LABA034900col_TOTAL_PERM_PCN_FTI</vt:lpstr>
      <vt:lpstr>LABA034900col_UNEMP_INS</vt:lpstr>
      <vt:lpstr>LABA034900col_UNEMP_INS_BY</vt:lpstr>
      <vt:lpstr>LABA034900col_UNEMP_INS_CHG</vt:lpstr>
      <vt:lpstr>LABA034900col_WORKERS_COMP</vt:lpstr>
      <vt:lpstr>LABA034900col_WORKERS_COMP_BY</vt:lpstr>
      <vt:lpstr>LABA034900col_WORKERS_COMP_CHG</vt:lpstr>
      <vt:lpstr>LABA048270col_1_27TH_PP</vt:lpstr>
      <vt:lpstr>LABA048270col_DHR</vt:lpstr>
      <vt:lpstr>LABA048270col_DHR_BY</vt:lpstr>
      <vt:lpstr>LABA048270col_DHR_CHG</vt:lpstr>
      <vt:lpstr>LABA048270col_FTI_SALARY_ELECT</vt:lpstr>
      <vt:lpstr>LABA048270col_FTI_SALARY_PERM</vt:lpstr>
      <vt:lpstr>LABA048270col_FTI_SALARY_SSDI</vt:lpstr>
      <vt:lpstr>LABA048270col_Group_Ben</vt:lpstr>
      <vt:lpstr>LABA048270col_Group_Salary</vt:lpstr>
      <vt:lpstr>LABA048270col_HEALTH_ELECT</vt:lpstr>
      <vt:lpstr>LABA048270col_HEALTH_ELECT_BY</vt:lpstr>
      <vt:lpstr>LABA048270col_HEALTH_ELECT_CHG</vt:lpstr>
      <vt:lpstr>LABA048270col_HEALTH_PERM</vt:lpstr>
      <vt:lpstr>LABA048270col_HEALTH_PERM_BY</vt:lpstr>
      <vt:lpstr>LABA048270col_HEALTH_PERM_CHG</vt:lpstr>
      <vt:lpstr>LABA048270col_INC_FTI</vt:lpstr>
      <vt:lpstr>LABA048270col_LIFE_INS</vt:lpstr>
      <vt:lpstr>LABA048270col_LIFE_INS_BY</vt:lpstr>
      <vt:lpstr>LABA048270col_LIFE_INS_CHG</vt:lpstr>
      <vt:lpstr>LABA048270col_RETIREMENT</vt:lpstr>
      <vt:lpstr>LABA048270col_RETIREMENT_BY</vt:lpstr>
      <vt:lpstr>LABA048270col_RETIREMENT_CHG</vt:lpstr>
      <vt:lpstr>LABA048270col_ROWS_PER_PCN</vt:lpstr>
      <vt:lpstr>LABA048270col_SICK</vt:lpstr>
      <vt:lpstr>LABA048270col_SICK_BY</vt:lpstr>
      <vt:lpstr>LABA048270col_SICK_CHG</vt:lpstr>
      <vt:lpstr>LABA048270col_SSDI</vt:lpstr>
      <vt:lpstr>LABA048270col_SSDI_BY</vt:lpstr>
      <vt:lpstr>LABA048270col_SSDI_CHG</vt:lpstr>
      <vt:lpstr>LABA048270col_SSHI</vt:lpstr>
      <vt:lpstr>LABA048270col_SSHI_BY</vt:lpstr>
      <vt:lpstr>LABA048270col_SSHI_CHGv</vt:lpstr>
      <vt:lpstr>LABA048270col_TOT_VB_ELECT</vt:lpstr>
      <vt:lpstr>LABA048270col_TOT_VB_ELECT_BY</vt:lpstr>
      <vt:lpstr>LABA048270col_TOT_VB_ELECT_CHG</vt:lpstr>
      <vt:lpstr>LABA048270col_TOT_VB_PERM</vt:lpstr>
      <vt:lpstr>LABA048270col_TOT_VB_PERM_BY</vt:lpstr>
      <vt:lpstr>LABA048270col_TOT_VB_PERM_CHG</vt:lpstr>
      <vt:lpstr>LABA048270col_TOTAL_ELECT_PCN_FTI</vt:lpstr>
      <vt:lpstr>LABA048270col_TOTAL_ELECT_PCN_FTI_ALT</vt:lpstr>
      <vt:lpstr>LABA048270col_TOTAL_PERM_PCN_FTI</vt:lpstr>
      <vt:lpstr>LABA048270col_UNEMP_INS</vt:lpstr>
      <vt:lpstr>LABA048270col_UNEMP_INS_BY</vt:lpstr>
      <vt:lpstr>LABA048270col_UNEMP_INS_CHG</vt:lpstr>
      <vt:lpstr>LABA048270col_WORKERS_COMP</vt:lpstr>
      <vt:lpstr>LABA048270col_WORKERS_COMP_BY</vt:lpstr>
      <vt:lpstr>LABA048270col_WORKERS_COMP_CHG</vt:lpstr>
      <vt:lpstr>Life</vt:lpstr>
      <vt:lpstr>LifeBY</vt:lpstr>
      <vt:lpstr>LifeCHG</vt:lpstr>
      <vt:lpstr>'LABA|0349-00'!LUMAFund</vt:lpstr>
      <vt:lpstr>'LABB|0482-00'!LUMAFund</vt:lpstr>
      <vt:lpstr>LUMAFund</vt:lpstr>
      <vt:lpstr>MAXSSDI</vt:lpstr>
      <vt:lpstr>MAXSSDIBY</vt:lpstr>
      <vt:lpstr>'LABA|0349-00'!NEW_AdjGroup</vt:lpstr>
      <vt:lpstr>'LABB|0482-00'!NEW_AdjGroup</vt:lpstr>
      <vt:lpstr>NEW_AdjGroup</vt:lpstr>
      <vt:lpstr>'LABA|0349-00'!NEW_AdjGroupSalary</vt:lpstr>
      <vt:lpstr>'LABB|0482-00'!NEW_AdjGroupSalary</vt:lpstr>
      <vt:lpstr>NEW_AdjGroupSalary</vt:lpstr>
      <vt:lpstr>'LABA|0349-00'!NEW_AdjGroupVB</vt:lpstr>
      <vt:lpstr>'LABB|0482-00'!NEW_AdjGroupVB</vt:lpstr>
      <vt:lpstr>NEW_AdjGroupVB</vt:lpstr>
      <vt:lpstr>'LABA|0349-00'!NEW_AdjONLYGroup</vt:lpstr>
      <vt:lpstr>'LABB|0482-00'!NEW_AdjONLYGroup</vt:lpstr>
      <vt:lpstr>NEW_AdjONLYGroup</vt:lpstr>
      <vt:lpstr>'LABA|0349-00'!NEW_AdjONLYGroupSalary</vt:lpstr>
      <vt:lpstr>'LABB|0482-00'!NEW_AdjONLYGroupSalary</vt:lpstr>
      <vt:lpstr>NEW_AdjONLYGroupSalary</vt:lpstr>
      <vt:lpstr>'LABA|0349-00'!NEW_AdjONLYGroupVB</vt:lpstr>
      <vt:lpstr>'LABB|0482-00'!NEW_AdjONLYGroupVB</vt:lpstr>
      <vt:lpstr>NEW_AdjONLYGroupVB</vt:lpstr>
      <vt:lpstr>'LABA|0349-00'!NEW_AdjONLYPerm</vt:lpstr>
      <vt:lpstr>'LABB|0482-00'!NEW_AdjONLYPerm</vt:lpstr>
      <vt:lpstr>NEW_AdjONLYPerm</vt:lpstr>
      <vt:lpstr>'LABA|0349-00'!NEW_AdjONLYPermSalary</vt:lpstr>
      <vt:lpstr>'LABB|0482-00'!NEW_AdjONLYPermSalary</vt:lpstr>
      <vt:lpstr>NEW_AdjONLYPermSalary</vt:lpstr>
      <vt:lpstr>'LABA|0349-00'!NEW_AdjONLYPermVB</vt:lpstr>
      <vt:lpstr>'LABB|0482-00'!NEW_AdjONLYPermVB</vt:lpstr>
      <vt:lpstr>NEW_AdjONLYPermVB</vt:lpstr>
      <vt:lpstr>'LABA|0349-00'!NEW_AdjPerm</vt:lpstr>
      <vt:lpstr>'LABB|0482-00'!NEW_AdjPerm</vt:lpstr>
      <vt:lpstr>NEW_AdjPerm</vt:lpstr>
      <vt:lpstr>'LABA|0349-00'!NEW_AdjPermSalary</vt:lpstr>
      <vt:lpstr>'LABB|0482-00'!NEW_AdjPermSalary</vt:lpstr>
      <vt:lpstr>NEW_AdjPermSalary</vt:lpstr>
      <vt:lpstr>'LABA|0349-00'!NEW_AdjPermVB</vt:lpstr>
      <vt:lpstr>'LABB|0482-00'!NEW_AdjPermVB</vt:lpstr>
      <vt:lpstr>NEW_AdjPermVB</vt:lpstr>
      <vt:lpstr>'LABA|0349-00'!NEW_GroupFilled</vt:lpstr>
      <vt:lpstr>'LABB|0482-00'!NEW_GroupFilled</vt:lpstr>
      <vt:lpstr>NEW_GroupFilled</vt:lpstr>
      <vt:lpstr>'LABA|0349-00'!NEW_GroupSalaryFilled</vt:lpstr>
      <vt:lpstr>'LABB|0482-00'!NEW_GroupSalaryFilled</vt:lpstr>
      <vt:lpstr>NEW_GroupSalaryFilled</vt:lpstr>
      <vt:lpstr>'LABA|0349-00'!NEW_GroupVBFilled</vt:lpstr>
      <vt:lpstr>'LABB|0482-00'!NEW_GroupVBFilled</vt:lpstr>
      <vt:lpstr>NEW_GroupVBFilled</vt:lpstr>
      <vt:lpstr>'LABA|0349-00'!NEW_PermFilled</vt:lpstr>
      <vt:lpstr>'LABB|0482-00'!NEW_PermFilled</vt:lpstr>
      <vt:lpstr>NEW_PermFilled</vt:lpstr>
      <vt:lpstr>'LABA|0349-00'!NEW_PermSalaryFilled</vt:lpstr>
      <vt:lpstr>'LABB|0482-00'!NEW_PermSalaryFilled</vt:lpstr>
      <vt:lpstr>NEW_PermSalaryFilled</vt:lpstr>
      <vt:lpstr>'LABA|0349-00'!NEW_PermVBFilled</vt:lpstr>
      <vt:lpstr>'LABB|0482-00'!NEW_PermVBFilled</vt:lpstr>
      <vt:lpstr>NEW_PermVBFilled</vt:lpstr>
      <vt:lpstr>'LABA|0349-00'!OneTimePC_Total</vt:lpstr>
      <vt:lpstr>'LABB|0482-00'!OneTimePC_Total</vt:lpstr>
      <vt:lpstr>OneTimePC_Total</vt:lpstr>
      <vt:lpstr>'LABA|0349-00'!OrigApprop</vt:lpstr>
      <vt:lpstr>'LABB|0482-00'!OrigApprop</vt:lpstr>
      <vt:lpstr>OrigApprop</vt:lpstr>
      <vt:lpstr>'LABA|0349-00'!perm_name</vt:lpstr>
      <vt:lpstr>'LABB|0482-00'!perm_name</vt:lpstr>
      <vt:lpstr>perm_name</vt:lpstr>
      <vt:lpstr>'LABA|0349-00'!PermFTP</vt:lpstr>
      <vt:lpstr>'LABB|0482-00'!PermFTP</vt:lpstr>
      <vt:lpstr>PermFTP</vt:lpstr>
      <vt:lpstr>'LABA|0349-00'!PermFxdBen</vt:lpstr>
      <vt:lpstr>'LABB|0482-00'!PermFxdBen</vt:lpstr>
      <vt:lpstr>PermFxdBen</vt:lpstr>
      <vt:lpstr>'LABA|0349-00'!PermFxdBenChg</vt:lpstr>
      <vt:lpstr>'LABB|0482-00'!PermFxdBenChg</vt:lpstr>
      <vt:lpstr>PermFxdBenChg</vt:lpstr>
      <vt:lpstr>'LABA|0349-00'!PermFxdChg</vt:lpstr>
      <vt:lpstr>'LABB|0482-00'!PermFxdChg</vt:lpstr>
      <vt:lpstr>PermFxdChg</vt:lpstr>
      <vt:lpstr>'LABA|0349-00'!PermSalary</vt:lpstr>
      <vt:lpstr>'LABB|0482-00'!PermSalary</vt:lpstr>
      <vt:lpstr>PermSalary</vt:lpstr>
      <vt:lpstr>'LABA|0349-00'!PermVarBen</vt:lpstr>
      <vt:lpstr>'LABB|0482-00'!PermVarBen</vt:lpstr>
      <vt:lpstr>PermVarBen</vt:lpstr>
      <vt:lpstr>'LABA|0349-00'!PermVarBenChg</vt:lpstr>
      <vt:lpstr>'LABB|0482-00'!PermVarBenChg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'LABA|0349-00'!Print_Area</vt:lpstr>
      <vt:lpstr>'LABB|0482-00'!Print_Area</vt:lpstr>
      <vt:lpstr>'LABA|0349-00'!Prog_Unadjusted_Total</vt:lpstr>
      <vt:lpstr>'LABB|0482-00'!Prog_Unadjusted_Total</vt:lpstr>
      <vt:lpstr>Prog_Unadjusted_Total</vt:lpstr>
      <vt:lpstr>'LABA|0349-00'!Program</vt:lpstr>
      <vt:lpstr>'LABB|0482-00'!Program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'LABA|0349-00'!RoundedAppropSalary</vt:lpstr>
      <vt:lpstr>'LABB|0482-00'!RoundedAppropSalary</vt:lpstr>
      <vt:lpstr>RoundedAppropSalary</vt:lpstr>
      <vt:lpstr>'LABA|0349-00'!SalaryChg</vt:lpstr>
      <vt:lpstr>'LABB|0482-00'!SalaryChg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330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2022-07-27T17:51:16Z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