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46491EDC-D03C-4FCA-BB86-309C343FDD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GBP|0001-00" sheetId="12" r:id="rId1"/>
    <sheet name="SGBP|0349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'SGBP|0001-00'!$H$39</definedName>
    <definedName name="AdjGroupHlth" localSheetId="1">'SGBP|0349-00'!$H$39</definedName>
    <definedName name="AdjGroupHlth">'B6'!$H$39</definedName>
    <definedName name="AdjGroupSalary" localSheetId="0">'SGBP|0001-00'!$G$39</definedName>
    <definedName name="AdjGroupSalary" localSheetId="1">'SGBP|0349-00'!$G$39</definedName>
    <definedName name="AdjGroupSalary">'B6'!$G$39</definedName>
    <definedName name="AdjGroupVB" localSheetId="0">'SGBP|0001-00'!$I$39</definedName>
    <definedName name="AdjGroupVB" localSheetId="1">'SGBP|0349-00'!$I$39</definedName>
    <definedName name="AdjGroupVB">'B6'!$I$39</definedName>
    <definedName name="AdjGroupVBBY" localSheetId="0">'SGBP|0001-00'!$M$39</definedName>
    <definedName name="AdjGroupVBBY" localSheetId="1">'SGBP|0349-00'!$M$39</definedName>
    <definedName name="AdjGroupVBBY">'B6'!$M$39</definedName>
    <definedName name="AdjPermHlth" localSheetId="0">'SGBP|0001-00'!$H$38</definedName>
    <definedName name="AdjPermHlth" localSheetId="1">'SGBP|0349-00'!$H$38</definedName>
    <definedName name="AdjPermHlth">'B6'!$H$38</definedName>
    <definedName name="AdjPermHlthBY" localSheetId="0">'SGBP|0001-00'!$L$38</definedName>
    <definedName name="AdjPermHlthBY" localSheetId="1">'SGBP|0349-00'!$L$38</definedName>
    <definedName name="AdjPermHlthBY">'B6'!$L$38</definedName>
    <definedName name="AdjPermSalary" localSheetId="0">'SGBP|0001-00'!$G$38</definedName>
    <definedName name="AdjPermSalary" localSheetId="1">'SGBP|0349-00'!$G$38</definedName>
    <definedName name="AdjPermSalary">'B6'!$G$38</definedName>
    <definedName name="AdjPermVB" localSheetId="0">'SGBP|0001-00'!$I$38</definedName>
    <definedName name="AdjPermVB" localSheetId="1">'SGBP|0349-00'!$I$38</definedName>
    <definedName name="AdjPermVB">'B6'!$I$38</definedName>
    <definedName name="AdjPermVBBY" localSheetId="0">'SGBP|0001-00'!$M$38</definedName>
    <definedName name="AdjPermVBBY" localSheetId="1">'SGBP|0349-00'!$M$38</definedName>
    <definedName name="AdjPermVBBY">'B6'!$M$38</definedName>
    <definedName name="AdjustedTotal" localSheetId="0">'SGBP|0001-00'!$J$16</definedName>
    <definedName name="AdjustedTotal" localSheetId="1">'SGBP|0349-00'!$J$16</definedName>
    <definedName name="AdjustedTotal">'B6'!$J$16</definedName>
    <definedName name="AgencyNum" localSheetId="0">'SGBP|0001-00'!$M$1</definedName>
    <definedName name="AgencyNum" localSheetId="1">'SGBP|0349-00'!$M$1</definedName>
    <definedName name="AgencyNum">'B6'!$M$1</definedName>
    <definedName name="AppropFTP" localSheetId="0">'SGBP|0001-00'!$F$15</definedName>
    <definedName name="AppropFTP" localSheetId="1">'SGBP|0349-00'!$F$15</definedName>
    <definedName name="AppropFTP">'B6'!$F$15</definedName>
    <definedName name="AppropTotal" localSheetId="0">'SGBP|0001-00'!$J$15</definedName>
    <definedName name="AppropTotal" localSheetId="1">'SGBP|0349-00'!$J$15</definedName>
    <definedName name="AppropTotal">'B6'!$J$15</definedName>
    <definedName name="AtZHealth" localSheetId="0">'SGBP|0001-00'!$H$45</definedName>
    <definedName name="AtZHealth" localSheetId="1">'SGBP|0349-00'!$H$45</definedName>
    <definedName name="AtZHealth">'B6'!$H$45</definedName>
    <definedName name="AtZSalary" localSheetId="0">'SGBP|0001-00'!$G$45</definedName>
    <definedName name="AtZSalary" localSheetId="1">'SGBP|0349-00'!$G$45</definedName>
    <definedName name="AtZSalary">'B6'!$G$45</definedName>
    <definedName name="AtZTotal" localSheetId="0">'SGBP|0001-00'!$J$45</definedName>
    <definedName name="AtZTotal" localSheetId="1">'SGBP|0349-00'!$J$45</definedName>
    <definedName name="AtZTotal">'B6'!$J$45</definedName>
    <definedName name="AtZVarBen" localSheetId="0">'SGBP|0001-00'!$I$45</definedName>
    <definedName name="AtZVarBen" localSheetId="1">'SGBP|0349-00'!$I$45</definedName>
    <definedName name="AtZVarBen">'B6'!$I$45</definedName>
    <definedName name="BudgetUnit" localSheetId="0">'SGBP|0001-00'!$M$3</definedName>
    <definedName name="BudgetUnit" localSheetId="1">'SGBP|0349-00'!$M$3</definedName>
    <definedName name="BudgetUnit">'B6'!$M$3</definedName>
    <definedName name="BudgetYear">Benefits!$D$4</definedName>
    <definedName name="CECGroup">Benefits!$C$39</definedName>
    <definedName name="CECOrigElectSalary" localSheetId="0">'SGBP|0001-00'!$G$74</definedName>
    <definedName name="CECOrigElectSalary" localSheetId="1">'SGBP|0349-00'!$G$74</definedName>
    <definedName name="CECOrigElectSalary">'B6'!$G$74</definedName>
    <definedName name="CECOrigElectVB" localSheetId="0">'SGBP|0001-00'!$I$74</definedName>
    <definedName name="CECOrigElectVB" localSheetId="1">'SGBP|0349-00'!$I$74</definedName>
    <definedName name="CECOrigElectVB">'B6'!$I$74</definedName>
    <definedName name="CECOrigGroupSalary" localSheetId="0">'SGBP|0001-00'!$G$73</definedName>
    <definedName name="CECOrigGroupSalary" localSheetId="1">'SGBP|0349-00'!$G$73</definedName>
    <definedName name="CECOrigGroupSalary">'B6'!$G$73</definedName>
    <definedName name="CECOrigGroupVB" localSheetId="0">'SGBP|0001-00'!$I$73</definedName>
    <definedName name="CECOrigGroupVB" localSheetId="1">'SGBP|0349-00'!$I$73</definedName>
    <definedName name="CECOrigGroupVB">'B6'!$I$73</definedName>
    <definedName name="CECOrigPermSalary" localSheetId="0">'SGBP|0001-00'!$G$72</definedName>
    <definedName name="CECOrigPermSalary" localSheetId="1">'SGBP|0349-00'!$G$72</definedName>
    <definedName name="CECOrigPermSalary">'B6'!$G$72</definedName>
    <definedName name="CECOrigPermVB" localSheetId="0">'SGBP|0001-00'!$I$72</definedName>
    <definedName name="CECOrigPermVB" localSheetId="1">'SGBP|0349-00'!$I$72</definedName>
    <definedName name="CECOrigPermVB">'B6'!$I$72</definedName>
    <definedName name="CECPerm">Benefits!$C$38</definedName>
    <definedName name="CECpermCalc" localSheetId="0">'SGBP|0001-00'!$E$72</definedName>
    <definedName name="CECpermCalc" localSheetId="1">'SGBP|0349-00'!$E$72</definedName>
    <definedName name="CECpermCalc">'B6'!$E$72</definedName>
    <definedName name="Department" localSheetId="0">'SGBP|0001-00'!$D$1</definedName>
    <definedName name="Department" localSheetId="1">'SGBP|0349-00'!$D$1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'SGBP|0001-00'!$D$2</definedName>
    <definedName name="Division" localSheetId="1">'SGBP|0349-00'!$D$2</definedName>
    <definedName name="Division">'B6'!$D$2</definedName>
    <definedName name="DUCECElect" localSheetId="0">'SGBP|0001-00'!$J$74</definedName>
    <definedName name="DUCECElect" localSheetId="1">'SGBP|0349-00'!$J$74</definedName>
    <definedName name="DUCECElect">'B6'!$J$74</definedName>
    <definedName name="DUCECGroup" localSheetId="0">'SGBP|0001-00'!$J$73</definedName>
    <definedName name="DUCECGroup" localSheetId="1">'SGBP|0349-00'!$J$73</definedName>
    <definedName name="DUCECGroup">'B6'!$J$73</definedName>
    <definedName name="DUCECPerm" localSheetId="0">'SGBP|0001-00'!$J$72</definedName>
    <definedName name="DUCECPerm" localSheetId="1">'SGBP|0349-00'!$J$72</definedName>
    <definedName name="DUCECPerm">'B6'!$J$72</definedName>
    <definedName name="DUEleven" localSheetId="0">'SGBP|0001-00'!$J$75</definedName>
    <definedName name="DUEleven" localSheetId="1">'SGBP|0349-00'!$J$75</definedName>
    <definedName name="DUEleven">'B6'!$J$75</definedName>
    <definedName name="DUHealthBen" localSheetId="0">'SGBP|0001-00'!$J$68</definedName>
    <definedName name="DUHealthBen" localSheetId="1">'SGBP|0349-00'!$J$68</definedName>
    <definedName name="DUHealthBen">'B6'!$J$68</definedName>
    <definedName name="DUNine" localSheetId="0">'SGBP|0001-00'!$J$67</definedName>
    <definedName name="DUNine" localSheetId="1">'SGBP|0349-00'!$J$67</definedName>
    <definedName name="DUNine">'B6'!$J$67</definedName>
    <definedName name="DUThirteen" localSheetId="0">'SGBP|0001-00'!$J$80</definedName>
    <definedName name="DUThirteen" localSheetId="1">'SGBP|0349-00'!$J$80</definedName>
    <definedName name="DUThirteen">'B6'!$J$80</definedName>
    <definedName name="DUVariableBen" localSheetId="0">'SGBP|0001-00'!$J$69</definedName>
    <definedName name="DUVariableBen" localSheetId="1">'SGBP|0349-00'!$J$69</definedName>
    <definedName name="DUVariableBen">'B6'!$J$69</definedName>
    <definedName name="Elect_chg_health" localSheetId="0">'SGBP|0001-00'!$L$12</definedName>
    <definedName name="Elect_chg_health" localSheetId="1">'SGBP|0349-00'!$L$12</definedName>
    <definedName name="Elect_chg_health">'B6'!$L$12</definedName>
    <definedName name="Elect_chg_Var" localSheetId="0">'SGBP|0001-00'!$M$12</definedName>
    <definedName name="Elect_chg_Var" localSheetId="1">'SGBP|0349-00'!$M$12</definedName>
    <definedName name="Elect_chg_Var">'B6'!$M$12</definedName>
    <definedName name="elect_FTP" localSheetId="0">'SGBP|0001-00'!$F$12</definedName>
    <definedName name="elect_FTP" localSheetId="1">'SGBP|0349-00'!$F$12</definedName>
    <definedName name="elect_FTP">'B6'!$F$12</definedName>
    <definedName name="Elect_health" localSheetId="0">'SGBP|0001-00'!$H$12</definedName>
    <definedName name="Elect_health" localSheetId="1">'SGBP|0349-00'!$H$12</definedName>
    <definedName name="Elect_health">'B6'!$H$12</definedName>
    <definedName name="Elect_name" localSheetId="0">'SGBP|0001-00'!$C$12</definedName>
    <definedName name="Elect_name" localSheetId="1">'SGBP|0349-00'!$C$12</definedName>
    <definedName name="Elect_name">'B6'!$C$12</definedName>
    <definedName name="Elect_salary" localSheetId="0">'SGBP|0001-00'!$G$12</definedName>
    <definedName name="Elect_salary" localSheetId="1">'SGBP|0349-00'!$G$12</definedName>
    <definedName name="Elect_salary">'B6'!$G$12</definedName>
    <definedName name="Elect_Var" localSheetId="0">'SGBP|0001-00'!$I$12</definedName>
    <definedName name="Elect_Var" localSheetId="1">'SGBP|0349-00'!$I$12</definedName>
    <definedName name="Elect_Var">'B6'!$I$12</definedName>
    <definedName name="Elect_VarBen" localSheetId="0">'SGBP|0001-00'!$I$12</definedName>
    <definedName name="Elect_VarBen" localSheetId="1">'SGBP|0349-00'!$I$12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'SGBP|0001-00'!#REF!</definedName>
    <definedName name="FillRateAvg_B6" localSheetId="1">'SGBP|0349-00'!#REF!</definedName>
    <definedName name="FillRateAvg_B6">'B6'!#REF!</definedName>
    <definedName name="FiscalYear" localSheetId="0">'SGBP|0001-00'!$M$4</definedName>
    <definedName name="FiscalYear" localSheetId="1">'SGBP|0349-00'!$M$4</definedName>
    <definedName name="FiscalYear">'B6'!$M$4</definedName>
    <definedName name="FundName" localSheetId="0">'SGBP|0001-00'!$I$5</definedName>
    <definedName name="FundName" localSheetId="1">'SGBP|0349-00'!$I$5</definedName>
    <definedName name="FundName">'B6'!$I$5</definedName>
    <definedName name="FundNum" localSheetId="0">'SGBP|0001-00'!$N$5</definedName>
    <definedName name="FundNum" localSheetId="1">'SGBP|0349-00'!$N$5</definedName>
    <definedName name="FundNum">'B6'!$N$5</definedName>
    <definedName name="FundNumber" localSheetId="0">'SGBP|0001-00'!$N$5</definedName>
    <definedName name="FundNumber" localSheetId="1">'SGBP|0349-00'!$N$5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'SGBP|0001-00'!$C$11</definedName>
    <definedName name="Group_name" localSheetId="1">'SGBP|0349-00'!$C$11</definedName>
    <definedName name="Group_name">'B6'!$C$11</definedName>
    <definedName name="GroupFxdBen" localSheetId="0">'SGBP|0001-00'!$H$11</definedName>
    <definedName name="GroupFxdBen" localSheetId="1">'SGBP|0349-00'!$H$11</definedName>
    <definedName name="GroupFxdBen">'B6'!$H$11</definedName>
    <definedName name="GroupSalary" localSheetId="0">'SGBP|0001-00'!$G$11</definedName>
    <definedName name="GroupSalary" localSheetId="1">'SGBP|0349-00'!$G$11</definedName>
    <definedName name="GroupSalary">'B6'!$G$11</definedName>
    <definedName name="GroupVarBen" localSheetId="0">'SGBP|0001-00'!$I$11</definedName>
    <definedName name="GroupVarBen" localSheetId="1">'SGBP|0349-00'!$I$11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'SGBP|0001-00'!$M$2</definedName>
    <definedName name="LUMAFund" localSheetId="1">'SGBP|0349-00'!$M$2</definedName>
    <definedName name="LUMAFund">'B6'!$M$2</definedName>
    <definedName name="MAXSSDI">Benefits!$F$5</definedName>
    <definedName name="MAXSSDIBY">Benefits!$G$5</definedName>
    <definedName name="NEW_AdjGroup" localSheetId="0">'SGBP|0001-00'!$AC$39</definedName>
    <definedName name="NEW_AdjGroup" localSheetId="1">'SGBP|0349-00'!$AC$39</definedName>
    <definedName name="NEW_AdjGroup">'B6'!$AC$39</definedName>
    <definedName name="NEW_AdjGroupSalary" localSheetId="0">'SGBP|0001-00'!$AA$39</definedName>
    <definedName name="NEW_AdjGroupSalary" localSheetId="1">'SGBP|0349-00'!$AA$39</definedName>
    <definedName name="NEW_AdjGroupSalary">'B6'!$AA$39</definedName>
    <definedName name="NEW_AdjGroupVB" localSheetId="0">'SGBP|0001-00'!$AB$39</definedName>
    <definedName name="NEW_AdjGroupVB" localSheetId="1">'SGBP|0349-00'!$AB$39</definedName>
    <definedName name="NEW_AdjGroupVB">'B6'!$AB$39</definedName>
    <definedName name="NEW_AdjONLYGroup" localSheetId="0">'SGBP|0001-00'!$AC$45</definedName>
    <definedName name="NEW_AdjONLYGroup" localSheetId="1">'SGBP|0349-00'!$AC$45</definedName>
    <definedName name="NEW_AdjONLYGroup">'B6'!$AC$45</definedName>
    <definedName name="NEW_AdjONLYGroupSalary" localSheetId="0">'SGBP|0001-00'!$AA$45</definedName>
    <definedName name="NEW_AdjONLYGroupSalary" localSheetId="1">'SGBP|0349-00'!$AA$45</definedName>
    <definedName name="NEW_AdjONLYGroupSalary">'B6'!$AA$45</definedName>
    <definedName name="NEW_AdjONLYGroupVB" localSheetId="0">'SGBP|0001-00'!$AB$45</definedName>
    <definedName name="NEW_AdjONLYGroupVB" localSheetId="1">'SGBP|0349-00'!$AB$45</definedName>
    <definedName name="NEW_AdjONLYGroupVB">'B6'!$AB$45</definedName>
    <definedName name="NEW_AdjONLYPerm" localSheetId="0">'SGBP|0001-00'!$AC$44</definedName>
    <definedName name="NEW_AdjONLYPerm" localSheetId="1">'SGBP|0349-00'!$AC$44</definedName>
    <definedName name="NEW_AdjONLYPerm">'B6'!$AC$44</definedName>
    <definedName name="NEW_AdjONLYPermSalary" localSheetId="0">'SGBP|0001-00'!$AA$44</definedName>
    <definedName name="NEW_AdjONLYPermSalary" localSheetId="1">'SGBP|0349-00'!$AA$44</definedName>
    <definedName name="NEW_AdjONLYPermSalary">'B6'!$AA$44</definedName>
    <definedName name="NEW_AdjONLYPermVB" localSheetId="0">'SGBP|0001-00'!$AB$44</definedName>
    <definedName name="NEW_AdjONLYPermVB" localSheetId="1">'SGBP|0349-00'!$AB$44</definedName>
    <definedName name="NEW_AdjONLYPermVB">'B6'!$AB$44</definedName>
    <definedName name="NEW_AdjPerm" localSheetId="0">'SGBP|0001-00'!$AC$38</definedName>
    <definedName name="NEW_AdjPerm" localSheetId="1">'SGBP|0349-00'!$AC$38</definedName>
    <definedName name="NEW_AdjPerm">'B6'!$AC$38</definedName>
    <definedName name="NEW_AdjPermSalary" localSheetId="0">'SGBP|0001-00'!$AA$38</definedName>
    <definedName name="NEW_AdjPermSalary" localSheetId="1">'SGBP|0349-00'!$AA$38</definedName>
    <definedName name="NEW_AdjPermSalary">'B6'!$AA$38</definedName>
    <definedName name="NEW_AdjPermVB" localSheetId="0">'SGBP|0001-00'!$AB$38</definedName>
    <definedName name="NEW_AdjPermVB" localSheetId="1">'SGBP|0349-00'!$AB$38</definedName>
    <definedName name="NEW_AdjPermVB">'B6'!$AB$38</definedName>
    <definedName name="NEW_GroupFilled" localSheetId="0">'SGBP|0001-00'!$AC$11</definedName>
    <definedName name="NEW_GroupFilled" localSheetId="1">'SGBP|0349-00'!$AC$11</definedName>
    <definedName name="NEW_GroupFilled">'B6'!$AC$11</definedName>
    <definedName name="NEW_GroupSalaryFilled" localSheetId="0">'SGBP|0001-00'!$AA$11</definedName>
    <definedName name="NEW_GroupSalaryFilled" localSheetId="1">'SGBP|0349-00'!$AA$11</definedName>
    <definedName name="NEW_GroupSalaryFilled">'B6'!$AA$11</definedName>
    <definedName name="NEW_GroupVBFilled" localSheetId="0">'SGBP|0001-00'!$AB$11</definedName>
    <definedName name="NEW_GroupVBFilled" localSheetId="1">'SGBP|0349-00'!$AB$11</definedName>
    <definedName name="NEW_GroupVBFilled">'B6'!$AB$11</definedName>
    <definedName name="NEW_PermFilled" localSheetId="0">'SGBP|0001-00'!$AC$10</definedName>
    <definedName name="NEW_PermFilled" localSheetId="1">'SGBP|0349-00'!$AC$10</definedName>
    <definedName name="NEW_PermFilled">'B6'!$AC$10</definedName>
    <definedName name="NEW_PermSalaryFilled" localSheetId="0">'SGBP|0001-00'!$AA$10</definedName>
    <definedName name="NEW_PermSalaryFilled" localSheetId="1">'SGBP|0349-00'!$AA$10</definedName>
    <definedName name="NEW_PermSalaryFilled">'B6'!$AA$10</definedName>
    <definedName name="NEW_PermVBFilled" localSheetId="0">'SGBP|0001-00'!$AB$10</definedName>
    <definedName name="NEW_PermVBFilled" localSheetId="1">'SGBP|0349-00'!$AB$10</definedName>
    <definedName name="NEW_PermVBFilled">'B6'!$AB$10</definedName>
    <definedName name="OneTimePC_Total" localSheetId="0">'SGBP|0001-00'!$J$63</definedName>
    <definedName name="OneTimePC_Total" localSheetId="1">'SGBP|0349-00'!$J$63</definedName>
    <definedName name="OneTimePC_Total">'B6'!$J$63</definedName>
    <definedName name="OrigApprop" localSheetId="0">'SGBP|0001-00'!$E$15</definedName>
    <definedName name="OrigApprop" localSheetId="1">'SGBP|0349-00'!$E$15</definedName>
    <definedName name="OrigApprop">'B6'!$E$15</definedName>
    <definedName name="perm_name" localSheetId="0">'SGBP|0001-00'!$C$10</definedName>
    <definedName name="perm_name" localSheetId="1">'SGBP|0349-00'!$C$10</definedName>
    <definedName name="perm_name">'B6'!$C$10</definedName>
    <definedName name="PermFTP" localSheetId="0">'SGBP|0001-00'!$F$10</definedName>
    <definedName name="PermFTP" localSheetId="1">'SGBP|0349-00'!$F$10</definedName>
    <definedName name="PermFTP">'B6'!$F$10</definedName>
    <definedName name="PermFxdBen" localSheetId="0">'SGBP|0001-00'!$H$10</definedName>
    <definedName name="PermFxdBen" localSheetId="1">'SGBP|0349-00'!$H$10</definedName>
    <definedName name="PermFxdBen">'B6'!$H$10</definedName>
    <definedName name="PermFxdBenChg" localSheetId="0">'SGBP|0001-00'!$L$10</definedName>
    <definedName name="PermFxdBenChg" localSheetId="1">'SGBP|0349-00'!$L$10</definedName>
    <definedName name="PermFxdBenChg">'B6'!$L$10</definedName>
    <definedName name="PermFxdChg" localSheetId="0">'SGBP|0001-00'!$L$10</definedName>
    <definedName name="PermFxdChg" localSheetId="1">'SGBP|0349-00'!$L$10</definedName>
    <definedName name="PermFxdChg">'B6'!$L$10</definedName>
    <definedName name="PermSalary" localSheetId="0">'SGBP|0001-00'!$G$10</definedName>
    <definedName name="PermSalary" localSheetId="1">'SGBP|0349-00'!$G$10</definedName>
    <definedName name="PermSalary">'B6'!$G$10</definedName>
    <definedName name="PermVarBen" localSheetId="0">'SGBP|0001-00'!$I$10</definedName>
    <definedName name="PermVarBen" localSheetId="1">'SGBP|0349-00'!$I$10</definedName>
    <definedName name="PermVarBen">'B6'!$I$10</definedName>
    <definedName name="PermVarBenChg" localSheetId="0">'SGBP|0001-00'!$M$10</definedName>
    <definedName name="PermVarBenChg" localSheetId="1">'SGBP|0349-00'!$M$10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'SGBP|0001-00'!$A$1:$N$81</definedName>
    <definedName name="_xlnm.Print_Area" localSheetId="1">'SGBP|0349-00'!$A$1:$N$81</definedName>
    <definedName name="Prog_Unadjusted_Total" localSheetId="0">'SGBP|0001-00'!$C$8:$N$16</definedName>
    <definedName name="Prog_Unadjusted_Total" localSheetId="1">'SGBP|0349-00'!$C$8:$N$16</definedName>
    <definedName name="Prog_Unadjusted_Total">'B6'!$C$8:$N$16</definedName>
    <definedName name="Program" localSheetId="0">'SGBP|0001-00'!$D$3</definedName>
    <definedName name="Program" localSheetId="1">'SGBP|0349-00'!$D$3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'SGBP|0001-00'!$G$52</definedName>
    <definedName name="RoundedAppropSalary" localSheetId="1">'SGBP|0349-00'!$G$52</definedName>
    <definedName name="RoundedAppropSalary">'B6'!$G$52</definedName>
    <definedName name="SalaryChg" localSheetId="0">'SGBP|0001-00'!$K$10</definedName>
    <definedName name="SalaryChg" localSheetId="1">'SGBP|0349-00'!$K$10</definedName>
    <definedName name="SalaryChg">'B6'!$K$10</definedName>
    <definedName name="SGBP000100col_1_27TH_PP">Data!$BA$12</definedName>
    <definedName name="SGBP000100col_DHR">Data!$BI$12</definedName>
    <definedName name="SGBP000100col_DHR_BY">Data!$BU$12</definedName>
    <definedName name="SGBP000100col_DHR_CHG">Data!$CG$12</definedName>
    <definedName name="SGBP000100col_FTI_SALARY_ELECT">Data!$AZ$12</definedName>
    <definedName name="SGBP000100col_FTI_SALARY_PERM">Data!$AY$12</definedName>
    <definedName name="SGBP000100col_FTI_SALARY_SSDI">Data!$AX$12</definedName>
    <definedName name="SGBP000100col_Group_Ben">Data!$CM$12</definedName>
    <definedName name="SGBP000100col_Group_Salary">Data!$CL$12</definedName>
    <definedName name="SGBP000100col_HEALTH_ELECT">Data!$BC$12</definedName>
    <definedName name="SGBP000100col_HEALTH_ELECT_BY">Data!$BO$12</definedName>
    <definedName name="SGBP000100col_HEALTH_ELECT_CHG">Data!$CA$12</definedName>
    <definedName name="SGBP000100col_HEALTH_PERM">Data!$BB$12</definedName>
    <definedName name="SGBP000100col_HEALTH_PERM_BY">Data!$BN$12</definedName>
    <definedName name="SGBP000100col_HEALTH_PERM_CHG">Data!$BZ$12</definedName>
    <definedName name="SGBP000100col_INC_FTI">Data!$AS$12</definedName>
    <definedName name="SGBP000100col_LIFE_INS">Data!$BG$12</definedName>
    <definedName name="SGBP000100col_LIFE_INS_BY">Data!$BS$12</definedName>
    <definedName name="SGBP000100col_LIFE_INS_CHG">Data!$CE$12</definedName>
    <definedName name="SGBP000100col_RETIREMENT">Data!$BF$12</definedName>
    <definedName name="SGBP000100col_RETIREMENT_BY">Data!$BR$12</definedName>
    <definedName name="SGBP000100col_RETIREMENT_CHG">Data!$CD$12</definedName>
    <definedName name="SGBP000100col_ROWS_PER_PCN">Data!$AW$12</definedName>
    <definedName name="SGBP000100col_SICK">Data!$BK$12</definedName>
    <definedName name="SGBP000100col_SICK_BY">Data!$BW$12</definedName>
    <definedName name="SGBP000100col_SICK_CHG">Data!$CI$12</definedName>
    <definedName name="SGBP000100col_SSDI">Data!$BD$12</definedName>
    <definedName name="SGBP000100col_SSDI_BY">Data!$BP$12</definedName>
    <definedName name="SGBP000100col_SSDI_CHG">Data!$CB$12</definedName>
    <definedName name="SGBP000100col_SSHI">Data!$BE$12</definedName>
    <definedName name="SGBP000100col_SSHI_BY">Data!$BQ$12</definedName>
    <definedName name="SGBP000100col_SSHI_CHGv">Data!$CC$12</definedName>
    <definedName name="SGBP000100col_TOT_VB_ELECT">Data!$BM$12</definedName>
    <definedName name="SGBP000100col_TOT_VB_ELECT_BY">Data!$BY$12</definedName>
    <definedName name="SGBP000100col_TOT_VB_ELECT_CHG">Data!$CK$12</definedName>
    <definedName name="SGBP000100col_TOT_VB_PERM">Data!$BL$12</definedName>
    <definedName name="SGBP000100col_TOT_VB_PERM_BY">Data!$BX$12</definedName>
    <definedName name="SGBP000100col_TOT_VB_PERM_CHG">Data!$CJ$12</definedName>
    <definedName name="SGBP000100col_TOTAL_ELECT_PCN_FTI">Data!$AT$12</definedName>
    <definedName name="SGBP000100col_TOTAL_ELECT_PCN_FTI_ALT">Data!$AV$12</definedName>
    <definedName name="SGBP000100col_TOTAL_PERM_PCN_FTI">Data!$AU$12</definedName>
    <definedName name="SGBP000100col_UNEMP_INS">Data!$BH$12</definedName>
    <definedName name="SGBP000100col_UNEMP_INS_BY">Data!$BT$12</definedName>
    <definedName name="SGBP000100col_UNEMP_INS_CHG">Data!$CF$12</definedName>
    <definedName name="SGBP000100col_WORKERS_COMP">Data!$BJ$12</definedName>
    <definedName name="SGBP000100col_WORKERS_COMP_BY">Data!$BV$12</definedName>
    <definedName name="SGBP000100col_WORKERS_COMP_CHG">Data!$CH$12</definedName>
    <definedName name="SGBP034900col_1_27TH_PP">Data!$BA$14</definedName>
    <definedName name="SGBP034900col_DHR">Data!$BI$14</definedName>
    <definedName name="SGBP034900col_DHR_BY">Data!$BU$14</definedName>
    <definedName name="SGBP034900col_DHR_CHG">Data!$CG$14</definedName>
    <definedName name="SGBP034900col_FTI_SALARY_ELECT">Data!$AZ$14</definedName>
    <definedName name="SGBP034900col_FTI_SALARY_PERM">Data!$AY$14</definedName>
    <definedName name="SGBP034900col_FTI_SALARY_SSDI">Data!$AX$14</definedName>
    <definedName name="SGBP034900col_Group_Ben">Data!$CM$14</definedName>
    <definedName name="SGBP034900col_Group_Salary">Data!$CL$14</definedName>
    <definedName name="SGBP034900col_HEALTH_ELECT">Data!$BC$14</definedName>
    <definedName name="SGBP034900col_HEALTH_ELECT_BY">Data!$BO$14</definedName>
    <definedName name="SGBP034900col_HEALTH_ELECT_CHG">Data!$CA$14</definedName>
    <definedName name="SGBP034900col_HEALTH_PERM">Data!$BB$14</definedName>
    <definedName name="SGBP034900col_HEALTH_PERM_BY">Data!$BN$14</definedName>
    <definedName name="SGBP034900col_HEALTH_PERM_CHG">Data!$BZ$14</definedName>
    <definedName name="SGBP034900col_INC_FTI">Data!$AS$14</definedName>
    <definedName name="SGBP034900col_LIFE_INS">Data!$BG$14</definedName>
    <definedName name="SGBP034900col_LIFE_INS_BY">Data!$BS$14</definedName>
    <definedName name="SGBP034900col_LIFE_INS_CHG">Data!$CE$14</definedName>
    <definedName name="SGBP034900col_RETIREMENT">Data!$BF$14</definedName>
    <definedName name="SGBP034900col_RETIREMENT_BY">Data!$BR$14</definedName>
    <definedName name="SGBP034900col_RETIREMENT_CHG">Data!$CD$14</definedName>
    <definedName name="SGBP034900col_ROWS_PER_PCN">Data!$AW$14</definedName>
    <definedName name="SGBP034900col_SICK">Data!$BK$14</definedName>
    <definedName name="SGBP034900col_SICK_BY">Data!$BW$14</definedName>
    <definedName name="SGBP034900col_SICK_CHG">Data!$CI$14</definedName>
    <definedName name="SGBP034900col_SSDI">Data!$BD$14</definedName>
    <definedName name="SGBP034900col_SSDI_BY">Data!$BP$14</definedName>
    <definedName name="SGBP034900col_SSDI_CHG">Data!$CB$14</definedName>
    <definedName name="SGBP034900col_SSHI">Data!$BE$14</definedName>
    <definedName name="SGBP034900col_SSHI_BY">Data!$BQ$14</definedName>
    <definedName name="SGBP034900col_SSHI_CHGv">Data!$CC$14</definedName>
    <definedName name="SGBP034900col_TOT_VB_ELECT">Data!$BM$14</definedName>
    <definedName name="SGBP034900col_TOT_VB_ELECT_BY">Data!$BY$14</definedName>
    <definedName name="SGBP034900col_TOT_VB_ELECT_CHG">Data!$CK$14</definedName>
    <definedName name="SGBP034900col_TOT_VB_PERM">Data!$BL$14</definedName>
    <definedName name="SGBP034900col_TOT_VB_PERM_BY">Data!$BX$14</definedName>
    <definedName name="SGBP034900col_TOT_VB_PERM_CHG">Data!$CJ$14</definedName>
    <definedName name="SGBP034900col_TOTAL_ELECT_PCN_FTI">Data!$AT$14</definedName>
    <definedName name="SGBP034900col_TOTAL_ELECT_PCN_FTI_ALT">Data!$AV$14</definedName>
    <definedName name="SGBP034900col_TOTAL_PERM_PCN_FTI">Data!$AU$14</definedName>
    <definedName name="SGBP034900col_UNEMP_INS">Data!$BH$14</definedName>
    <definedName name="SGBP034900col_UNEMP_INS_BY">Data!$BT$14</definedName>
    <definedName name="SGBP034900col_UNEMP_INS_CHG">Data!$CF$14</definedName>
    <definedName name="SGBP034900col_WORKERS_COMP">Data!$BJ$14</definedName>
    <definedName name="SGBP034900col_WORKERS_COMP_BY">Data!$BV$14</definedName>
    <definedName name="SGBP034900col_WORKERS_COMP_CHG">Data!$CH$14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'SGBP|0001-00'!#REF!</definedName>
    <definedName name="SubCECBase" localSheetId="1">'SGBP|0349-00'!#REF!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3" i="5"/>
  <c r="AY33" i="5"/>
  <c r="AW33" i="5"/>
  <c r="AV33" i="5"/>
  <c r="AU33" i="5"/>
  <c r="AT33" i="5"/>
  <c r="AS33" i="5"/>
  <c r="AZ27" i="5"/>
  <c r="AY27" i="5"/>
  <c r="AW27" i="5"/>
  <c r="AV27" i="5"/>
  <c r="AU27" i="5"/>
  <c r="AT27" i="5"/>
  <c r="AS27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J74" i="13"/>
  <c r="I74" i="13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N33" i="13" s="1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N29" i="13" s="1"/>
  <c r="L29" i="13"/>
  <c r="J29" i="13"/>
  <c r="I29" i="13"/>
  <c r="H29" i="13"/>
  <c r="M28" i="13"/>
  <c r="N28" i="13" s="1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N25" i="13" s="1"/>
  <c r="L25" i="13"/>
  <c r="J25" i="13"/>
  <c r="I25" i="13"/>
  <c r="H25" i="13"/>
  <c r="M24" i="13"/>
  <c r="N24" i="13" s="1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N21" i="13" s="1"/>
  <c r="L21" i="13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J74" i="12"/>
  <c r="I74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N28" i="12" s="1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2" i="5"/>
  <c r="CM3" i="5"/>
  <c r="CM4" i="5"/>
  <c r="CM5" i="5"/>
  <c r="CM6" i="5"/>
  <c r="CM7" i="5"/>
  <c r="CM8" i="5"/>
  <c r="CM2" i="5"/>
  <c r="CL3" i="5"/>
  <c r="CL4" i="5"/>
  <c r="CL5" i="5"/>
  <c r="CL6" i="5"/>
  <c r="CL7" i="5"/>
  <c r="CL8" i="5"/>
  <c r="CL2" i="5"/>
  <c r="AW8" i="5"/>
  <c r="AW7" i="5"/>
  <c r="AW6" i="5"/>
  <c r="AW5" i="5"/>
  <c r="AW4" i="5"/>
  <c r="AW3" i="5"/>
  <c r="AW2" i="5"/>
  <c r="AS3" i="5"/>
  <c r="AT3" i="5" s="1"/>
  <c r="AS4" i="5"/>
  <c r="AX4" i="5" s="1"/>
  <c r="AS5" i="5"/>
  <c r="AX5" i="5" s="1"/>
  <c r="AS6" i="5"/>
  <c r="AT6" i="5" s="1"/>
  <c r="AS7" i="5"/>
  <c r="AT7" i="5" s="1"/>
  <c r="AS8" i="5"/>
  <c r="AX8" i="5" s="1"/>
  <c r="AS2" i="5"/>
  <c r="AX2" i="5" s="1"/>
  <c r="E27" i="7"/>
  <c r="N26" i="13" l="1"/>
  <c r="N26" i="12"/>
  <c r="N34" i="13"/>
  <c r="N22" i="13"/>
  <c r="N35" i="13"/>
  <c r="N23" i="12"/>
  <c r="N35" i="12"/>
  <c r="N30" i="13"/>
  <c r="AT22" i="5"/>
  <c r="AT23" i="5" s="1"/>
  <c r="AU22" i="5"/>
  <c r="AU23" i="5" s="1"/>
  <c r="AT24" i="5"/>
  <c r="AU24" i="5"/>
  <c r="N39" i="13"/>
  <c r="N24" i="12"/>
  <c r="N33" i="12"/>
  <c r="N20" i="12"/>
  <c r="F52" i="13"/>
  <c r="F56" i="13" s="1"/>
  <c r="F60" i="13" s="1"/>
  <c r="N22" i="12"/>
  <c r="N25" i="12"/>
  <c r="N30" i="12"/>
  <c r="N34" i="12"/>
  <c r="AW13" i="5"/>
  <c r="AW14" i="5" s="1"/>
  <c r="CM13" i="5"/>
  <c r="CM14" i="5" s="1"/>
  <c r="CL13" i="5"/>
  <c r="CL14" i="5" s="1"/>
  <c r="AX3" i="5"/>
  <c r="AX11" i="5" s="1"/>
  <c r="AX12" i="5" s="1"/>
  <c r="BJ6" i="5"/>
  <c r="BH6" i="5"/>
  <c r="BG6" i="5"/>
  <c r="CF6" i="5"/>
  <c r="AZ6" i="5"/>
  <c r="BT6" i="5"/>
  <c r="AY6" i="5"/>
  <c r="BY6" i="5"/>
  <c r="AX6" i="5"/>
  <c r="BD6" i="5" s="1"/>
  <c r="AT2" i="5"/>
  <c r="BE2" i="5" s="1"/>
  <c r="AT8" i="5"/>
  <c r="BR8" i="5" s="1"/>
  <c r="BE3" i="5"/>
  <c r="CK3" i="5"/>
  <c r="BK3" i="5"/>
  <c r="AW11" i="5"/>
  <c r="AW12" i="5" s="1"/>
  <c r="BU6" i="5"/>
  <c r="CM11" i="5"/>
  <c r="CM12" i="5" s="1"/>
  <c r="I11" i="12" s="1"/>
  <c r="I39" i="12" s="1"/>
  <c r="AB39" i="12" s="1"/>
  <c r="CL11" i="5"/>
  <c r="CL12" i="5" s="1"/>
  <c r="E5" i="10" s="1"/>
  <c r="AT4" i="5"/>
  <c r="CH4" i="5" s="1"/>
  <c r="BM6" i="5"/>
  <c r="AV7" i="5"/>
  <c r="BO7" i="5" s="1"/>
  <c r="BW7" i="5"/>
  <c r="BJ7" i="5"/>
  <c r="BK7" i="5"/>
  <c r="CK7" i="5"/>
  <c r="BF7" i="5"/>
  <c r="CC7" i="5"/>
  <c r="CA7" i="5"/>
  <c r="BQ7" i="5"/>
  <c r="AY7" i="5"/>
  <c r="CD7" i="5"/>
  <c r="BR7" i="5"/>
  <c r="BE7" i="5"/>
  <c r="CI7" i="5"/>
  <c r="BS7" i="5"/>
  <c r="CF7" i="5"/>
  <c r="BY7" i="5"/>
  <c r="BT7" i="5"/>
  <c r="BU7" i="5"/>
  <c r="BM7" i="5"/>
  <c r="BH7" i="5"/>
  <c r="AZ7" i="5"/>
  <c r="AU7" i="5"/>
  <c r="BN7" i="5" s="1"/>
  <c r="BV7" i="5"/>
  <c r="BI7" i="5"/>
  <c r="BA7" i="5"/>
  <c r="CE7" i="5"/>
  <c r="BG7" i="5"/>
  <c r="BR3" i="5"/>
  <c r="BW6" i="5"/>
  <c r="BZ6" i="5"/>
  <c r="CD3" i="5"/>
  <c r="AT5" i="5"/>
  <c r="BA6" i="5"/>
  <c r="BI6" i="5"/>
  <c r="BQ3" i="5"/>
  <c r="BV6" i="5"/>
  <c r="CA3" i="5"/>
  <c r="CC3" i="5"/>
  <c r="CG6" i="5"/>
  <c r="CJ6" i="5"/>
  <c r="AV3" i="5"/>
  <c r="BC3" i="5" s="1"/>
  <c r="BA3" i="5"/>
  <c r="BF6" i="5"/>
  <c r="BI3" i="5"/>
  <c r="BL6" i="5"/>
  <c r="BS6" i="5"/>
  <c r="BV3" i="5"/>
  <c r="CE6" i="5"/>
  <c r="CG3" i="5"/>
  <c r="CI6" i="5"/>
  <c r="AZ3" i="5"/>
  <c r="BE6" i="5"/>
  <c r="BH3" i="5"/>
  <c r="BM3" i="5"/>
  <c r="BR6" i="5"/>
  <c r="BU3" i="5"/>
  <c r="BX6" i="5"/>
  <c r="CD6" i="5"/>
  <c r="BJ3" i="5"/>
  <c r="AY3" i="5"/>
  <c r="BG3" i="5"/>
  <c r="BT3" i="5"/>
  <c r="BY3" i="5"/>
  <c r="CA6" i="5"/>
  <c r="CC6" i="5"/>
  <c r="CH6" i="5"/>
  <c r="BW3" i="5"/>
  <c r="AX7" i="5"/>
  <c r="BQ6" i="5"/>
  <c r="CF3" i="5"/>
  <c r="AV6" i="5"/>
  <c r="BF3" i="5"/>
  <c r="BK6" i="5"/>
  <c r="BS3" i="5"/>
  <c r="CE3" i="5"/>
  <c r="CI3" i="5"/>
  <c r="CK6" i="5"/>
  <c r="AU3" i="5"/>
  <c r="BN3" i="5" s="1"/>
  <c r="AU6" i="5"/>
  <c r="N39" i="12"/>
  <c r="F52" i="12"/>
  <c r="F56" i="12" s="1"/>
  <c r="F60" i="12" s="1"/>
  <c r="E51" i="9"/>
  <c r="AS22" i="5" l="1"/>
  <c r="AS23" i="5" s="1"/>
  <c r="AU25" i="5"/>
  <c r="AS24" i="5"/>
  <c r="AS25" i="5" s="1"/>
  <c r="E16" i="10"/>
  <c r="G11" i="13"/>
  <c r="G16" i="10"/>
  <c r="I11" i="13"/>
  <c r="I39" i="13" s="1"/>
  <c r="AB39" i="13" s="1"/>
  <c r="AT25" i="5"/>
  <c r="F67" i="13"/>
  <c r="BY2" i="5"/>
  <c r="BH2" i="5"/>
  <c r="BK2" i="5"/>
  <c r="BV2" i="5"/>
  <c r="BW2" i="5"/>
  <c r="CG2" i="5"/>
  <c r="BJ2" i="5"/>
  <c r="AZ2" i="5"/>
  <c r="AY2" i="5"/>
  <c r="BM2" i="5"/>
  <c r="BA2" i="5"/>
  <c r="BP2" i="5" s="1"/>
  <c r="BR13" i="5"/>
  <c r="BR14" i="5" s="1"/>
  <c r="AX13" i="5"/>
  <c r="AX14" i="5" s="1"/>
  <c r="BO6" i="5"/>
  <c r="AS13" i="5"/>
  <c r="AS14" i="5" s="1"/>
  <c r="BN6" i="5"/>
  <c r="BP6" i="5"/>
  <c r="CB6" i="5" s="1"/>
  <c r="AT13" i="5"/>
  <c r="AT14" i="5" s="1"/>
  <c r="BX8" i="5"/>
  <c r="BV8" i="5"/>
  <c r="BV13" i="5" s="1"/>
  <c r="BV14" i="5" s="1"/>
  <c r="BH8" i="5"/>
  <c r="BH13" i="5" s="1"/>
  <c r="BH14" i="5" s="1"/>
  <c r="BZ8" i="5"/>
  <c r="BA8" i="5"/>
  <c r="BP8" i="5" s="1"/>
  <c r="CJ8" i="5"/>
  <c r="BX4" i="5"/>
  <c r="CA8" i="5"/>
  <c r="CA13" i="5" s="1"/>
  <c r="CA14" i="5" s="1"/>
  <c r="BD8" i="5"/>
  <c r="BT8" i="5"/>
  <c r="BT13" i="5" s="1"/>
  <c r="BT14" i="5" s="1"/>
  <c r="BY4" i="5"/>
  <c r="AY8" i="5"/>
  <c r="AY13" i="5" s="1"/>
  <c r="AY14" i="5" s="1"/>
  <c r="BM8" i="5"/>
  <c r="BM13" i="5" s="1"/>
  <c r="BM14" i="5" s="1"/>
  <c r="BJ8" i="5"/>
  <c r="BJ13" i="5" s="1"/>
  <c r="BJ14" i="5" s="1"/>
  <c r="AV8" i="5"/>
  <c r="BC8" i="5" s="1"/>
  <c r="CI2" i="5"/>
  <c r="BS2" i="5"/>
  <c r="BU2" i="5"/>
  <c r="CF8" i="5"/>
  <c r="CF13" i="5" s="1"/>
  <c r="CF14" i="5" s="1"/>
  <c r="BD2" i="5"/>
  <c r="CH8" i="5"/>
  <c r="BK8" i="5"/>
  <c r="BK13" i="5" s="1"/>
  <c r="BK14" i="5" s="1"/>
  <c r="CC8" i="5"/>
  <c r="CC13" i="5" s="1"/>
  <c r="CC14" i="5" s="1"/>
  <c r="CE2" i="5"/>
  <c r="BT2" i="5"/>
  <c r="AU4" i="5"/>
  <c r="BN4" i="5" s="1"/>
  <c r="BG4" i="5"/>
  <c r="BQ2" i="5"/>
  <c r="BW8" i="5"/>
  <c r="BW13" i="5" s="1"/>
  <c r="BW14" i="5" s="1"/>
  <c r="BP3" i="5"/>
  <c r="BX3" i="5" s="1"/>
  <c r="BG8" i="5"/>
  <c r="BG13" i="5" s="1"/>
  <c r="BG14" i="5" s="1"/>
  <c r="CG8" i="5"/>
  <c r="BG2" i="5"/>
  <c r="CD8" i="5"/>
  <c r="CD13" i="5" s="1"/>
  <c r="CD14" i="5" s="1"/>
  <c r="BQ4" i="5"/>
  <c r="BI8" i="5"/>
  <c r="BI13" i="5" s="1"/>
  <c r="BI14" i="5" s="1"/>
  <c r="CK2" i="5"/>
  <c r="BF2" i="5"/>
  <c r="CF2" i="5"/>
  <c r="AZ8" i="5"/>
  <c r="AZ13" i="5" s="1"/>
  <c r="AZ14" i="5" s="1"/>
  <c r="BI2" i="5"/>
  <c r="CK8" i="5"/>
  <c r="CK13" i="5" s="1"/>
  <c r="CK14" i="5" s="1"/>
  <c r="BQ8" i="5"/>
  <c r="BQ13" i="5" s="1"/>
  <c r="BQ14" i="5" s="1"/>
  <c r="AU2" i="5"/>
  <c r="BN2" i="5" s="1"/>
  <c r="BY8" i="5"/>
  <c r="BY13" i="5" s="1"/>
  <c r="BY14" i="5" s="1"/>
  <c r="BD3" i="5"/>
  <c r="BL3" i="5" s="1"/>
  <c r="CD2" i="5"/>
  <c r="BE8" i="5"/>
  <c r="BE13" i="5" s="1"/>
  <c r="BE14" i="5" s="1"/>
  <c r="BF8" i="5"/>
  <c r="BF13" i="5" s="1"/>
  <c r="BF14" i="5" s="1"/>
  <c r="CC2" i="5"/>
  <c r="BV4" i="5"/>
  <c r="CC4" i="5"/>
  <c r="BA4" i="5"/>
  <c r="BP4" i="5" s="1"/>
  <c r="BS4" i="5"/>
  <c r="BM4" i="5"/>
  <c r="BP7" i="5"/>
  <c r="BX7" i="5" s="1"/>
  <c r="CA4" i="5"/>
  <c r="BB6" i="5"/>
  <c r="BO3" i="5"/>
  <c r="BT4" i="5"/>
  <c r="AZ4" i="5"/>
  <c r="BJ4" i="5"/>
  <c r="CG4" i="5"/>
  <c r="BR4" i="5"/>
  <c r="BE4" i="5"/>
  <c r="CI4" i="5"/>
  <c r="BK4" i="5"/>
  <c r="BC7" i="5"/>
  <c r="BL4" i="5"/>
  <c r="CF4" i="5"/>
  <c r="AY4" i="5"/>
  <c r="AV4" i="5"/>
  <c r="BO4" i="5" s="1"/>
  <c r="CD4" i="5"/>
  <c r="CE4" i="5"/>
  <c r="BF4" i="5"/>
  <c r="BI4" i="5"/>
  <c r="BH4" i="5"/>
  <c r="BW4" i="5"/>
  <c r="BU8" i="5"/>
  <c r="BU13" i="5" s="1"/>
  <c r="BU14" i="5" s="1"/>
  <c r="BS8" i="5"/>
  <c r="BS13" i="5" s="1"/>
  <c r="BS14" i="5" s="1"/>
  <c r="AU8" i="5"/>
  <c r="AU13" i="5" s="1"/>
  <c r="AU14" i="5" s="1"/>
  <c r="BL8" i="5"/>
  <c r="CE8" i="5"/>
  <c r="CE13" i="5" s="1"/>
  <c r="CE14" i="5" s="1"/>
  <c r="BU4" i="5"/>
  <c r="CK4" i="5"/>
  <c r="CA2" i="5"/>
  <c r="AV2" i="5"/>
  <c r="BD4" i="5"/>
  <c r="BR2" i="5"/>
  <c r="CI8" i="5"/>
  <c r="CI13" i="5" s="1"/>
  <c r="CI14" i="5" s="1"/>
  <c r="G11" i="12"/>
  <c r="AB11" i="12" s="1"/>
  <c r="AB45" i="12" s="1"/>
  <c r="G5" i="10"/>
  <c r="H5" i="10" s="1"/>
  <c r="BD7" i="5"/>
  <c r="BL7" i="5" s="1"/>
  <c r="BC6" i="5"/>
  <c r="CJ4" i="5"/>
  <c r="BZ4" i="5"/>
  <c r="CK5" i="5"/>
  <c r="BM5" i="5"/>
  <c r="BH5" i="5"/>
  <c r="CH5" i="5"/>
  <c r="CC5" i="5"/>
  <c r="CA5" i="5"/>
  <c r="BQ5" i="5"/>
  <c r="BD5" i="5"/>
  <c r="AU5" i="5"/>
  <c r="BB5" i="5" s="1"/>
  <c r="BE5" i="5"/>
  <c r="AV5" i="5"/>
  <c r="BC5" i="5" s="1"/>
  <c r="AZ5" i="5"/>
  <c r="CG5" i="5"/>
  <c r="CD5" i="5"/>
  <c r="BX5" i="5"/>
  <c r="BR5" i="5"/>
  <c r="BU5" i="5"/>
  <c r="CI5" i="5"/>
  <c r="CE5" i="5"/>
  <c r="BS5" i="5"/>
  <c r="BL5" i="5"/>
  <c r="BF5" i="5"/>
  <c r="CJ5" i="5"/>
  <c r="BV5" i="5"/>
  <c r="BA5" i="5"/>
  <c r="CF5" i="5"/>
  <c r="BY5" i="5"/>
  <c r="BT5" i="5"/>
  <c r="BG5" i="5"/>
  <c r="AY5" i="5"/>
  <c r="BI5" i="5"/>
  <c r="BZ5" i="5"/>
  <c r="BW5" i="5"/>
  <c r="BJ5" i="5"/>
  <c r="BK5" i="5"/>
  <c r="BK11" i="5" s="1"/>
  <c r="BK12" i="5" s="1"/>
  <c r="BB7" i="5"/>
  <c r="BZ7" i="5" s="1"/>
  <c r="BZ13" i="5" s="1"/>
  <c r="BZ14" i="5" s="1"/>
  <c r="BB3" i="5"/>
  <c r="BZ3" i="5" s="1"/>
  <c r="AS11" i="5"/>
  <c r="AS12" i="5" s="1"/>
  <c r="AT11" i="5"/>
  <c r="AT12" i="5" s="1"/>
  <c r="F67" i="12"/>
  <c r="C12" i="7"/>
  <c r="C13" i="7"/>
  <c r="C14" i="7"/>
  <c r="G63" i="13" l="1"/>
  <c r="I63" i="13" s="1"/>
  <c r="G63" i="12"/>
  <c r="I63" i="12" s="1"/>
  <c r="BY11" i="5"/>
  <c r="BY12" i="5" s="1"/>
  <c r="I12" i="13"/>
  <c r="I40" i="13" s="1"/>
  <c r="G17" i="10"/>
  <c r="D15" i="10"/>
  <c r="F10" i="13"/>
  <c r="L10" i="13"/>
  <c r="J15" i="10"/>
  <c r="G10" i="13"/>
  <c r="E15" i="10"/>
  <c r="AB11" i="13"/>
  <c r="AB45" i="13" s="1"/>
  <c r="G39" i="13"/>
  <c r="AA11" i="13"/>
  <c r="J11" i="13"/>
  <c r="M12" i="13"/>
  <c r="M40" i="13" s="1"/>
  <c r="K17" i="10"/>
  <c r="H16" i="10"/>
  <c r="G12" i="13"/>
  <c r="E17" i="10"/>
  <c r="L12" i="13"/>
  <c r="J17" i="10"/>
  <c r="F12" i="13"/>
  <c r="F40" i="13" s="1"/>
  <c r="D17" i="10"/>
  <c r="AY22" i="5"/>
  <c r="AY23" i="5" s="1"/>
  <c r="AV24" i="5"/>
  <c r="AY24" i="5"/>
  <c r="AV22" i="5"/>
  <c r="AV23" i="5" s="1"/>
  <c r="F75" i="13"/>
  <c r="F80" i="13" s="1"/>
  <c r="BX13" i="5"/>
  <c r="BX14" i="5" s="1"/>
  <c r="BV11" i="5"/>
  <c r="BV12" i="5" s="1"/>
  <c r="AA11" i="12"/>
  <c r="CC11" i="5"/>
  <c r="CC12" i="5" s="1"/>
  <c r="BL13" i="5"/>
  <c r="BL14" i="5" s="1"/>
  <c r="BB2" i="5"/>
  <c r="BQ11" i="5"/>
  <c r="BQ12" i="5" s="1"/>
  <c r="BC13" i="5"/>
  <c r="BC14" i="5" s="1"/>
  <c r="BA13" i="5"/>
  <c r="BA14" i="5" s="1"/>
  <c r="AV13" i="5"/>
  <c r="AV14" i="5" s="1"/>
  <c r="BD13" i="5"/>
  <c r="BD14" i="5" s="1"/>
  <c r="BP13" i="5"/>
  <c r="BP14" i="5" s="1"/>
  <c r="BO8" i="5"/>
  <c r="BO13" i="5" s="1"/>
  <c r="BO14" i="5" s="1"/>
  <c r="J11" i="12"/>
  <c r="CB8" i="5"/>
  <c r="BB4" i="5"/>
  <c r="CB3" i="5"/>
  <c r="BL2" i="5"/>
  <c r="BG11" i="5"/>
  <c r="BG12" i="5" s="1"/>
  <c r="BM11" i="5"/>
  <c r="BM12" i="5" s="1"/>
  <c r="G6" i="10" s="1"/>
  <c r="G39" i="12"/>
  <c r="J39" i="12" s="1"/>
  <c r="BA11" i="5"/>
  <c r="BA12" i="5" s="1"/>
  <c r="K10" i="12" s="1"/>
  <c r="BF11" i="5"/>
  <c r="BF12" i="5" s="1"/>
  <c r="BS11" i="5"/>
  <c r="BS12" i="5" s="1"/>
  <c r="CB4" i="5"/>
  <c r="AZ11" i="5"/>
  <c r="AZ12" i="5" s="1"/>
  <c r="G12" i="12" s="1"/>
  <c r="BO5" i="5"/>
  <c r="BH11" i="5"/>
  <c r="BH12" i="5" s="1"/>
  <c r="AY11" i="5"/>
  <c r="AY12" i="5" s="1"/>
  <c r="G10" i="12" s="1"/>
  <c r="CE11" i="5"/>
  <c r="CE12" i="5" s="1"/>
  <c r="CI11" i="5"/>
  <c r="CI12" i="5" s="1"/>
  <c r="CF11" i="5"/>
  <c r="CF12" i="5" s="1"/>
  <c r="BJ11" i="5"/>
  <c r="BJ12" i="5" s="1"/>
  <c r="BN5" i="5"/>
  <c r="BN11" i="5" s="1"/>
  <c r="BN12" i="5" s="1"/>
  <c r="BU11" i="5"/>
  <c r="BU12" i="5" s="1"/>
  <c r="BW11" i="5"/>
  <c r="BW12" i="5" s="1"/>
  <c r="BI11" i="5"/>
  <c r="BI12" i="5" s="1"/>
  <c r="BT11" i="5"/>
  <c r="BT12" i="5" s="1"/>
  <c r="BE11" i="5"/>
  <c r="BE12" i="5" s="1"/>
  <c r="BR11" i="5"/>
  <c r="BR12" i="5" s="1"/>
  <c r="BD11" i="5"/>
  <c r="BD12" i="5" s="1"/>
  <c r="AV11" i="5"/>
  <c r="AV12" i="5" s="1"/>
  <c r="CA11" i="5"/>
  <c r="CA12" i="5" s="1"/>
  <c r="J6" i="10" s="1"/>
  <c r="CD11" i="5"/>
  <c r="CD12" i="5" s="1"/>
  <c r="CK11" i="5"/>
  <c r="CK12" i="5" s="1"/>
  <c r="K6" i="10" s="1"/>
  <c r="BP5" i="5"/>
  <c r="CB5" i="5" s="1"/>
  <c r="AU11" i="5"/>
  <c r="AU12" i="5" s="1"/>
  <c r="CB7" i="5"/>
  <c r="CG11" i="5"/>
  <c r="CG12" i="5" s="1"/>
  <c r="BO2" i="5"/>
  <c r="BC2" i="5"/>
  <c r="BC4" i="5"/>
  <c r="BB8" i="5"/>
  <c r="BB13" i="5" s="1"/>
  <c r="BB14" i="5" s="1"/>
  <c r="BN8" i="5"/>
  <c r="BN13" i="5" s="1"/>
  <c r="BN14" i="5" s="1"/>
  <c r="CB2" i="5"/>
  <c r="BX2" i="5"/>
  <c r="F12" i="12"/>
  <c r="F40" i="12" s="1"/>
  <c r="D6" i="10"/>
  <c r="F10" i="12"/>
  <c r="D4" i="10"/>
  <c r="F75" i="12"/>
  <c r="F80" i="12" s="1"/>
  <c r="D14" i="7"/>
  <c r="J18" i="10" l="1"/>
  <c r="I15" i="10"/>
  <c r="K10" i="13"/>
  <c r="H12" i="13"/>
  <c r="H40" i="13" s="1"/>
  <c r="F17" i="10"/>
  <c r="L13" i="13"/>
  <c r="L38" i="13"/>
  <c r="BZ2" i="5"/>
  <c r="BZ11" i="5" s="1"/>
  <c r="BZ12" i="5" s="1"/>
  <c r="L10" i="12" s="1"/>
  <c r="AW24" i="5"/>
  <c r="AW22" i="5"/>
  <c r="AW23" i="5" s="1"/>
  <c r="L17" i="10"/>
  <c r="BX11" i="5"/>
  <c r="BX12" i="5" s="1"/>
  <c r="BA24" i="5"/>
  <c r="M10" i="11" s="1"/>
  <c r="BA22" i="5"/>
  <c r="I10" i="13"/>
  <c r="G15" i="10"/>
  <c r="G18" i="10" s="1"/>
  <c r="L40" i="13"/>
  <c r="N40" i="13" s="1"/>
  <c r="N12" i="13"/>
  <c r="AA39" i="13"/>
  <c r="J39" i="13"/>
  <c r="AZ22" i="5"/>
  <c r="AZ23" i="5" s="1"/>
  <c r="F13" i="13"/>
  <c r="F16" i="13" s="1"/>
  <c r="F38" i="13"/>
  <c r="F41" i="13" s="1"/>
  <c r="AY25" i="5"/>
  <c r="E18" i="10"/>
  <c r="H17" i="10"/>
  <c r="D18" i="10"/>
  <c r="D21" i="10" s="1"/>
  <c r="G40" i="13"/>
  <c r="J40" i="13" s="1"/>
  <c r="J12" i="13"/>
  <c r="AZ24" i="5"/>
  <c r="H10" i="13"/>
  <c r="F15" i="10"/>
  <c r="BL11" i="5"/>
  <c r="BL12" i="5" s="1"/>
  <c r="G4" i="10" s="1"/>
  <c r="G7" i="10" s="1"/>
  <c r="AX24" i="5"/>
  <c r="J10" i="11" s="1"/>
  <c r="AX22" i="5"/>
  <c r="AV25" i="5"/>
  <c r="G13" i="13"/>
  <c r="AA10" i="13"/>
  <c r="G38" i="13"/>
  <c r="CB13" i="5"/>
  <c r="CB14" i="5" s="1"/>
  <c r="BB11" i="5"/>
  <c r="BB12" i="5" s="1"/>
  <c r="F4" i="10" s="1"/>
  <c r="I12" i="12"/>
  <c r="I40" i="12" s="1"/>
  <c r="AA39" i="12"/>
  <c r="AC39" i="12" s="1"/>
  <c r="E4" i="10"/>
  <c r="E6" i="10"/>
  <c r="BO11" i="5"/>
  <c r="BO12" i="5" s="1"/>
  <c r="I4" i="10"/>
  <c r="M12" i="12"/>
  <c r="M40" i="12" s="1"/>
  <c r="D7" i="10"/>
  <c r="D10" i="10" s="1"/>
  <c r="CB11" i="5"/>
  <c r="CB12" i="5" s="1"/>
  <c r="BP11" i="5"/>
  <c r="BP12" i="5" s="1"/>
  <c r="L12" i="12"/>
  <c r="L40" i="12" s="1"/>
  <c r="BC11" i="5"/>
  <c r="BC12" i="5" s="1"/>
  <c r="F6" i="10" s="1"/>
  <c r="H6" i="10" s="1"/>
  <c r="F13" i="12"/>
  <c r="F16" i="12" s="1"/>
  <c r="F38" i="12"/>
  <c r="F41" i="12" s="1"/>
  <c r="J4" i="10"/>
  <c r="G40" i="12"/>
  <c r="L6" i="10"/>
  <c r="G13" i="12"/>
  <c r="AA10" i="12"/>
  <c r="G38" i="12"/>
  <c r="AB10" i="9"/>
  <c r="BA23" i="5" l="1"/>
  <c r="M8" i="11"/>
  <c r="AX23" i="5"/>
  <c r="J8" i="11"/>
  <c r="J10" i="13"/>
  <c r="AA45" i="12"/>
  <c r="AC45" i="12" s="1"/>
  <c r="I10" i="12"/>
  <c r="H15" i="10"/>
  <c r="H10" i="12"/>
  <c r="AZ25" i="5"/>
  <c r="AA45" i="13"/>
  <c r="AC45" i="13" s="1"/>
  <c r="AC39" i="13"/>
  <c r="BA25" i="5"/>
  <c r="M11" i="11" s="1"/>
  <c r="F43" i="13"/>
  <c r="F44" i="13"/>
  <c r="F45" i="13"/>
  <c r="F18" i="10"/>
  <c r="H18" i="10" s="1"/>
  <c r="E20" i="10" s="1"/>
  <c r="AX25" i="5"/>
  <c r="J11" i="11" s="1"/>
  <c r="I38" i="13"/>
  <c r="I13" i="13"/>
  <c r="G41" i="13"/>
  <c r="AA38" i="13"/>
  <c r="H38" i="13"/>
  <c r="H41" i="13" s="1"/>
  <c r="H13" i="13"/>
  <c r="AW25" i="5"/>
  <c r="L41" i="13"/>
  <c r="I13" i="12"/>
  <c r="E7" i="10"/>
  <c r="N40" i="12"/>
  <c r="N12" i="12"/>
  <c r="H12" i="12"/>
  <c r="H40" i="12" s="1"/>
  <c r="J40" i="12" s="1"/>
  <c r="I38" i="12"/>
  <c r="I41" i="12" s="1"/>
  <c r="J10" i="12"/>
  <c r="F7" i="10"/>
  <c r="H4" i="10"/>
  <c r="H38" i="12"/>
  <c r="G41" i="12"/>
  <c r="AA38" i="12"/>
  <c r="J7" i="10"/>
  <c r="L13" i="12"/>
  <c r="L38" i="12"/>
  <c r="F43" i="12"/>
  <c r="F44" i="12"/>
  <c r="F45" i="12"/>
  <c r="AA11" i="9"/>
  <c r="AC11" i="9"/>
  <c r="AA10" i="9"/>
  <c r="BA27" i="5" l="1"/>
  <c r="M9" i="11"/>
  <c r="J9" i="11"/>
  <c r="AX27" i="5"/>
  <c r="J13" i="13"/>
  <c r="E21" i="10"/>
  <c r="G20" i="10"/>
  <c r="G21" i="10" s="1"/>
  <c r="H15" i="13"/>
  <c r="H16" i="13" s="1"/>
  <c r="G15" i="13"/>
  <c r="I41" i="13"/>
  <c r="F20" i="10"/>
  <c r="F21" i="10" s="1"/>
  <c r="J38" i="13"/>
  <c r="J41" i="13" s="1"/>
  <c r="H51" i="13" s="1"/>
  <c r="AA44" i="13"/>
  <c r="H7" i="10"/>
  <c r="E9" i="10" s="1"/>
  <c r="E10" i="10" s="1"/>
  <c r="J12" i="12"/>
  <c r="H13" i="12"/>
  <c r="J13" i="12" s="1"/>
  <c r="H15" i="12" s="1"/>
  <c r="H16" i="12" s="1"/>
  <c r="H41" i="12"/>
  <c r="F9" i="10"/>
  <c r="F10" i="10" s="1"/>
  <c r="G15" i="12"/>
  <c r="G16" i="12" s="1"/>
  <c r="J38" i="12"/>
  <c r="J41" i="12" s="1"/>
  <c r="AA44" i="12"/>
  <c r="L41" i="12"/>
  <c r="AC10" i="9"/>
  <c r="M13" i="11" l="1"/>
  <c r="BA33" i="5"/>
  <c r="M19" i="11" s="1"/>
  <c r="J13" i="11"/>
  <c r="AX33" i="5"/>
  <c r="J19" i="11" s="1"/>
  <c r="I51" i="13"/>
  <c r="I43" i="13" s="1"/>
  <c r="G9" i="10"/>
  <c r="G10" i="10" s="1"/>
  <c r="G51" i="13"/>
  <c r="G52" i="13" s="1"/>
  <c r="G56" i="13" s="1"/>
  <c r="G60" i="13" s="1"/>
  <c r="H51" i="12"/>
  <c r="H52" i="12" s="1"/>
  <c r="H56" i="12" s="1"/>
  <c r="H60" i="12" s="1"/>
  <c r="H43" i="13"/>
  <c r="H52" i="13"/>
  <c r="H56" i="13" s="1"/>
  <c r="H60" i="13" s="1"/>
  <c r="G16" i="13"/>
  <c r="I15" i="13"/>
  <c r="I16" i="13" s="1"/>
  <c r="H20" i="10"/>
  <c r="H21" i="10" s="1"/>
  <c r="I15" i="12"/>
  <c r="I16" i="12" s="1"/>
  <c r="I51" i="12"/>
  <c r="I43" i="12" s="1"/>
  <c r="G51" i="12"/>
  <c r="G52" i="12" s="1"/>
  <c r="G56" i="12" s="1"/>
  <c r="G60" i="12" s="1"/>
  <c r="E73" i="9"/>
  <c r="E72" i="9"/>
  <c r="H43" i="12" l="1"/>
  <c r="I52" i="13"/>
  <c r="I56" i="13" s="1"/>
  <c r="I60" i="13" s="1"/>
  <c r="I67" i="13" s="1"/>
  <c r="I45" i="13" s="1"/>
  <c r="H9" i="10"/>
  <c r="H10" i="10" s="1"/>
  <c r="G43" i="12"/>
  <c r="J43" i="12" s="1"/>
  <c r="J51" i="13"/>
  <c r="J52" i="13" s="1"/>
  <c r="J56" i="13" s="1"/>
  <c r="J60" i="13" s="1"/>
  <c r="J67" i="13" s="1"/>
  <c r="H68" i="13" s="1"/>
  <c r="J68" i="13" s="1"/>
  <c r="J15" i="13"/>
  <c r="J16" i="13" s="1"/>
  <c r="L16" i="13" s="1"/>
  <c r="I52" i="12"/>
  <c r="I56" i="12" s="1"/>
  <c r="I60" i="12" s="1"/>
  <c r="I44" i="12" s="1"/>
  <c r="J51" i="12"/>
  <c r="J52" i="12" s="1"/>
  <c r="J56" i="12" s="1"/>
  <c r="J60" i="12" s="1"/>
  <c r="J67" i="12" s="1"/>
  <c r="G72" i="12" s="1"/>
  <c r="G43" i="13"/>
  <c r="J43" i="13" s="1"/>
  <c r="K43" i="13" s="1"/>
  <c r="J15" i="12"/>
  <c r="J16" i="12" s="1"/>
  <c r="J10" i="10" s="1"/>
  <c r="G44" i="13"/>
  <c r="G67" i="13"/>
  <c r="J21" i="10"/>
  <c r="H67" i="13"/>
  <c r="H44" i="13"/>
  <c r="G67" i="12"/>
  <c r="G44" i="12"/>
  <c r="H44" i="12"/>
  <c r="H67" i="12"/>
  <c r="J79" i="9"/>
  <c r="J78" i="9"/>
  <c r="J77" i="9"/>
  <c r="I44" i="13" l="1"/>
  <c r="J44" i="13" s="1"/>
  <c r="K44" i="13" s="1"/>
  <c r="L16" i="12"/>
  <c r="I67" i="12"/>
  <c r="I45" i="12" s="1"/>
  <c r="H68" i="12"/>
  <c r="J68" i="12" s="1"/>
  <c r="O72" i="12"/>
  <c r="K43" i="12"/>
  <c r="M72" i="12"/>
  <c r="O72" i="13"/>
  <c r="G73" i="12"/>
  <c r="I73" i="12" s="1"/>
  <c r="J73" i="12" s="1"/>
  <c r="G73" i="13"/>
  <c r="I73" i="13" s="1"/>
  <c r="J73" i="13" s="1"/>
  <c r="G72" i="13"/>
  <c r="M72" i="13"/>
  <c r="G45" i="13"/>
  <c r="H45" i="13"/>
  <c r="H75" i="13"/>
  <c r="H80" i="13" s="1"/>
  <c r="G45" i="12"/>
  <c r="H45" i="12"/>
  <c r="J44" i="12"/>
  <c r="K44" i="12" s="1"/>
  <c r="H63" i="9"/>
  <c r="H75" i="12" l="1"/>
  <c r="H80" i="12" s="1"/>
  <c r="G75" i="12"/>
  <c r="G80" i="12" s="1"/>
  <c r="G75" i="13"/>
  <c r="G80" i="13" s="1"/>
  <c r="J45" i="13"/>
  <c r="J45" i="12"/>
  <c r="K8" i="9"/>
  <c r="K46" i="13" l="1"/>
  <c r="K45" i="13"/>
  <c r="K46" i="12"/>
  <c r="K45" i="12"/>
  <c r="I35" i="9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CG7" i="5" s="1"/>
  <c r="CG13" i="5" s="1"/>
  <c r="CG14" i="5" s="1"/>
  <c r="E10" i="7"/>
  <c r="E9" i="7"/>
  <c r="E8" i="7"/>
  <c r="E7" i="7"/>
  <c r="E6" i="7"/>
  <c r="E5" i="7"/>
  <c r="C4" i="7"/>
  <c r="CH7" i="5" l="1"/>
  <c r="CH13" i="5" s="1"/>
  <c r="CH14" i="5" s="1"/>
  <c r="CH2" i="5"/>
  <c r="CH3" i="5"/>
  <c r="CJ3" i="5" s="1"/>
  <c r="CJ7" i="5"/>
  <c r="CJ13" i="5" s="1"/>
  <c r="CJ14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M10" i="13" l="1"/>
  <c r="K15" i="10"/>
  <c r="CJ2" i="5"/>
  <c r="CJ11" i="5" s="1"/>
  <c r="CJ12" i="5" s="1"/>
  <c r="CH11" i="5"/>
  <c r="CH12" i="5" s="1"/>
  <c r="F80" i="9"/>
  <c r="F45" i="9"/>
  <c r="N22" i="9"/>
  <c r="N21" i="9"/>
  <c r="H51" i="9"/>
  <c r="H43" i="9" s="1"/>
  <c r="I51" i="9"/>
  <c r="I43" i="9" s="1"/>
  <c r="L15" i="10" l="1"/>
  <c r="L18" i="10" s="1"/>
  <c r="K18" i="10"/>
  <c r="M13" i="13"/>
  <c r="M38" i="13"/>
  <c r="N10" i="13"/>
  <c r="N13" i="13" s="1"/>
  <c r="AB10" i="13"/>
  <c r="AC10" i="13" s="1"/>
  <c r="K4" i="10"/>
  <c r="M10" i="12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41" i="13" l="1"/>
  <c r="N38" i="13"/>
  <c r="AB38" i="13"/>
  <c r="M13" i="12"/>
  <c r="M38" i="12"/>
  <c r="AB10" i="12"/>
  <c r="AC10" i="12" s="1"/>
  <c r="N10" i="12"/>
  <c r="N13" i="12" s="1"/>
  <c r="K7" i="10"/>
  <c r="L4" i="10"/>
  <c r="L7" i="10" s="1"/>
  <c r="N41" i="9"/>
  <c r="N38" i="9"/>
  <c r="J43" i="9"/>
  <c r="K43" i="9" s="1"/>
  <c r="I67" i="9"/>
  <c r="I45" i="9" s="1"/>
  <c r="AB44" i="13" l="1"/>
  <c r="AC44" i="13" s="1"/>
  <c r="AC38" i="13"/>
  <c r="N41" i="13"/>
  <c r="I69" i="13"/>
  <c r="M41" i="12"/>
  <c r="AB38" i="12"/>
  <c r="N38" i="12"/>
  <c r="J44" i="9"/>
  <c r="K44" i="9" s="1"/>
  <c r="J69" i="13" l="1"/>
  <c r="J75" i="13" s="1"/>
  <c r="J80" i="13" s="1"/>
  <c r="I75" i="13"/>
  <c r="I80" i="13" s="1"/>
  <c r="AB44" i="12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6A1CC3C-3BBC-4E6A-BF51-0454A94483D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82B2E3F-6318-4A75-80F5-2C57AACC550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5DA0AE0-2562-415C-B74B-8330F8DEC03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DE4A9B0-74C0-4DE9-B189-C59D59CE543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79F8CEA-FEA2-4F98-BA55-A9CBE4E158B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95BA4B7-8EB0-4211-BD7F-3C188D56E3B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844939F-CA76-41C2-B1B2-C5EA8FCCA8B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161C8B0-B0D3-4FFA-BC68-41E884CA09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754E5F0-5F4A-4813-80C6-B7D9E8CC7AC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96EFAEB-8208-4F16-8AB8-4CE0CA7A9C0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DD4E004-5ED4-4DD6-930D-0E0E9CEEAFF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4FB4BD6-4521-4CAD-8823-735F010D7A2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5F663B6-E8B6-4EA9-9C2A-A8962A5182C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6ADB8B5-97F2-4EB2-BF32-25E06EE95A4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58A76F1-AE75-47B4-83F4-0B40F31DC95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FB3DC5F-EAEA-4F7E-80CE-A9CE1A2CA19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A92A510-C78A-4749-BF2A-8EB7DBFD7CA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3807EA4-538C-41F5-94FD-8F22F886B20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F5075E11-ADEF-40E4-BC03-CF17BA91FC9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1DDCCF08-CA33-47CD-9F1B-423E1EB7396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<sst xmlns="http://schemas.openxmlformats.org/spreadsheetml/2006/main" count="635" uniqueCount="283">
  <si>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</si>
  <si>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</si>
  <si>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</si>
  <si>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</si>
  <si>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</si>
  <si>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</si>
  <si>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</si>
  <si>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</si>
  <si>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</si>
  <si>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</si>
  <si>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</si>
  <si>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</si>
  <si>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</si>
  <si>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</si>
  <si>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</si>
  <si>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</si>
  <si>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</si>
  <si>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</si>
  <si>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</si>
  <si>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</si>
  <si>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</si>
  <si>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</si>
  <si>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</si>
  <si>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</si>
  <si>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</si>
  <si>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</si>
  <si>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</si>
  <si>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</si>
  <si>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</si>
  <si>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</si>
  <si>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</si>
  <si>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</si>
  <si>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</si>
  <si>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</si>
  <si>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</si>
  <si>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</si>
  <si>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</si>
  <si>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</si>
  <si>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</si>
  <si>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</si>
  <si>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</si>
  <si>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</si>
  <si>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</si>
  <si>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</si>
  <si>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</si>
  <si>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</si>
  <si>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</si>
  <si>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</si>
  <si>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</si>
  <si>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</si>
  <si>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</si>
  <si>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</si>
  <si>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</si>
  <si>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</si>
  <si>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</si>
  <si>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</si>
  <si>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</si>
  <si>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</si>
  <si>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</si>
  <si>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</si>
  <si>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</si>
  <si>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</si>
  <si>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</si>
  <si>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</si>
  <si>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</si>
  <si>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</si>
  <si>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</si>
  <si>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</si>
  <si>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</si>
  <si>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</si>
  <si>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</si>
  <si>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</si>
  <si>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</si>
  <si>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</si>
  <si>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</si>
  <si>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</si>
  <si>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</si>
  <si>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</si>
  <si>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</si>
  <si>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</si>
  <si>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</si>
  <si>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</si>
  <si>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</si>
  <si>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</si>
  <si>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</si>
  <si>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</si>
  <si>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</si>
  <si>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</si>
  <si>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</si>
  <si>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</si>
  <si>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</si>
  <si>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</si>
  <si>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</si>
  <si>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</si>
  <si>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</si>
  <si>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</si>
  <si>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</si>
  <si>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</si>
  <si>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</si>
  <si>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</si>
  <si>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</si>
  <si>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</si>
  <si>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</si>
  <si>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</si>
  <si>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</si>
  <si>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</si>
  <si>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</si>
  <si>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</si>
  <si>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</si>
  <si>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</si>
  <si>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</si>
  <si>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</si>
  <si>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</si>
  <si>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</si>
  <si>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</si>
  <si>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</si>
  <si>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</si>
  <si>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</si>
  <si>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</si>
  <si>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</si>
  <si>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</si>
  <si>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</si>
  <si>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</si>
  <si>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</si>
  <si>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</si>
  <si>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</si>
  <si>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</si>
  <si>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</si>
  <si>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</si>
  <si>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</si>
  <si>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</si>
  <si>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</si>
  <si>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</si>
  <si>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</si>
  <si>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</si>
  <si>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</si>
  <si>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</si>
  <si>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</si>
  <si>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</si>
  <si>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</si>
  <si>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</si>
  <si>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</si>
  <si>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</si>
  <si>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</si>
  <si>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</si>
  <si>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</si>
  <si>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</si>
  <si>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</si>
  <si>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</si>
  <si>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</si>
  <si>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</si>
  <si>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</si>
  <si>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</si>
  <si>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</si>
  <si>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</si>
  <si>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</si>
  <si>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</si>
  <si>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</si>
  <si>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</si>
  <si>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</si>
  <si>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</si>
  <si>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</si>
  <si>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</si>
  <si>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441</t>
  </si>
  <si>
    <t>0003</t>
  </si>
  <si>
    <t xml:space="preserve">ADMIN ASST 1        </t>
  </si>
  <si>
    <t>0001</t>
  </si>
  <si>
    <t>00</t>
  </si>
  <si>
    <t>SGBP</t>
  </si>
  <si>
    <t>001</t>
  </si>
  <si>
    <t>01235</t>
  </si>
  <si>
    <t>H</t>
  </si>
  <si>
    <t>F</t>
  </si>
  <si>
    <t>NR</t>
  </si>
  <si>
    <t xml:space="preserve">ORTIZ PEREZ, LYMARIS </t>
  </si>
  <si>
    <t>ORTIZ PEREZ</t>
  </si>
  <si>
    <t>LYMARIS</t>
  </si>
  <si>
    <t xml:space="preserve">              </t>
  </si>
  <si>
    <t xml:space="preserve">HH   </t>
  </si>
  <si>
    <t>FS</t>
  </si>
  <si>
    <t>E</t>
  </si>
  <si>
    <t>N</t>
  </si>
  <si>
    <t>Y</t>
  </si>
  <si>
    <t xml:space="preserve">    </t>
  </si>
  <si>
    <t xml:space="preserve">EXEC DIRECTOR       </t>
  </si>
  <si>
    <t>20930</t>
  </si>
  <si>
    <t>GONZALEZ, MARGIE A.</t>
  </si>
  <si>
    <t>GONZALEZ</t>
  </si>
  <si>
    <t>MARGIE</t>
  </si>
  <si>
    <t>ANN</t>
  </si>
  <si>
    <t>00000</t>
  </si>
  <si>
    <t>9993</t>
  </si>
  <si>
    <t xml:space="preserve">TEMPORARY EMPLOYEES </t>
  </si>
  <si>
    <t>95000</t>
  </si>
  <si>
    <t>V</t>
  </si>
  <si>
    <t>NG</t>
  </si>
  <si>
    <t>9992</t>
  </si>
  <si>
    <t>0349</t>
  </si>
  <si>
    <t>0004</t>
  </si>
  <si>
    <t xml:space="preserve">TECH RECORDS SPEC 2 </t>
  </si>
  <si>
    <t>01103</t>
  </si>
  <si>
    <t>I</t>
  </si>
  <si>
    <t>CR</t>
  </si>
  <si>
    <t>SALDANA, JUAN J.</t>
  </si>
  <si>
    <t>SALDANA</t>
  </si>
  <si>
    <t>JUAN</t>
  </si>
  <si>
    <t>J</t>
  </si>
  <si>
    <t xml:space="preserve">HI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</si>
  <si>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</si>
  <si>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</si>
  <si>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</si>
  <si>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</si>
  <si>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</si>
  <si>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</si>
  <si>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</si>
  <si>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</si>
  <si>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</si>
  <si>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</si>
  <si>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</si>
  <si>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</si>
  <si>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</si>
  <si>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</si>
  <si>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</si>
  <si>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</si>
  <si>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</si>
  <si>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</si>
  <si>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</si>
  <si>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</si>
  <si>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</si>
  <si>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</si>
  <si>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</si>
  <si>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</si>
  <si>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</si>
  <si>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</si>
  <si>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</si>
  <si>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</si>
  <si>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</si>
  <si>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</si>
  <si>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</si>
  <si>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</si>
  <si>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</si>
  <si>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</si>
  <si>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</si>
  <si>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</si>
  <si>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</si>
  <si>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</si>
  <si>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</si>
  <si>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</si>
  <si>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</si>
  <si>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</si>
  <si>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</si>
  <si>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</si>
  <si>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</si>
  <si>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</si>
  <si>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</si>
  <si>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</si>
  <si>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SGBP 0001-00</t>
  </si>
  <si>
    <t>SGBP 0001</t>
  </si>
  <si>
    <t>Self-Governing Agencies</t>
  </si>
  <si>
    <t>Commission on Hispanic Affairs</t>
  </si>
  <si>
    <t>General</t>
  </si>
  <si>
    <t>0001-00</t>
  </si>
  <si>
    <t>10000</t>
  </si>
  <si>
    <t>Commission on Hispanic Affairs, General   SGBP-0001-00</t>
  </si>
  <si>
    <t>SGBP 0349-00</t>
  </si>
  <si>
    <t>SGBP 0349</t>
  </si>
  <si>
    <t>Miscellaneous Revenue</t>
  </si>
  <si>
    <t>0349-00</t>
  </si>
  <si>
    <t>34900</t>
  </si>
  <si>
    <t>Commission on Hispanic Affairs, Miscellaneous Revenue   SGBP-0349-00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</si>
  <si>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</si>
  <si>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</si>
  <si>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</si>
  <si>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</si>
  <si>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</si>
  <si>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</si>
  <si>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</si>
  <si>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</si>
  <si>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Fund-0349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</si>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</sst>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6F48-3F80-4B93-9179-4212F6530835}">
  <sheetPr>
    <pageSetUpPr fitToPage="1"/>
  </sheetPr>
  <dimension ref="A1:CP80"/>
  <sheetViews>
    <sheetView showGridLines="0" tabSelected="1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258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441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259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262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259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260</v>
      </c>
      <c r="J5" s="411"/>
      <c r="K5" s="411"/>
      <c r="L5" s="410"/>
      <c r="M5" s="352" t="s">
        <v>113</v>
      </c>
      <c r="N5" s="32" t="s">
        <v>261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"&amp;'SGBP|0001-00'!FiscalYear-1&amp;" SALARY"</f>
        <v>FY 2023 SALARY</v>
      </c>
      <c r="H8" s="50" t="str">
        <f>"FY "&amp;'SGBP|0001-00'!FiscalYear-1&amp;" HEALTH BENEFITS"</f>
        <v>FY 2023 HEALTH BENEFITS</v>
      </c>
      <c r="I8" s="50" t="str">
        <f>"FY "&amp;'SGBP|0001-00'!FiscalYear-1&amp;" VAR BENEFITS"</f>
        <v>FY 2023 VAR BENEFITS</v>
      </c>
      <c r="J8" s="50" t="str">
        <f>"FY "&amp;'SGBP|0001-00'!FiscalYear-1&amp;" TOTAL"</f>
        <v>FY 2023 TOTAL</v>
      </c>
      <c r="K8" s="50" t="str">
        <f>"FY "&amp;'SGBP|0001-00'!FiscalYear&amp;" SALARY CHANGE"</f>
        <v>FY 2024 SALARY CHANGE</v>
      </c>
      <c r="L8" s="50" t="str">
        <f>"FY "&amp;'SGBP|0001-00'!FiscalYear&amp;" CHG HEALTH BENEFITS"</f>
        <v>FY 2024 CHG HEALTH BENEFITS</v>
      </c>
      <c r="M8" s="50" t="str">
        <f>"FY "&amp;'SGBP|0001-00'!FiscalYear&amp;"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[0]!SGBP000100col_INC_FTI</f>
        <v>2</v>
      </c>
      <c r="G10" s="218">
        <f>[0]!SGBP000100col_FTI_SALARY_PERM</f>
        <v>126984</v>
      </c>
      <c r="H10" s="218">
        <f>[0]!SGBP000100col_HEALTH_PERM</f>
        <v>25000</v>
      </c>
      <c r="I10" s="218">
        <f>[0]!SGBP000100col_TOT_VB_PERM</f>
        <v>26248.862639999999</v>
      </c>
      <c r="J10" s="219">
        <f>SUM(G10:I10)</f>
        <v>178232.86264000001</v>
      </c>
      <c r="K10" s="219">
        <f>[0]!SGBP000100col_1_27TH_PP</f>
        <v>0</v>
      </c>
      <c r="L10" s="218">
        <f>[0]!SGBP000100col_HEALTH_PERM_CHG</f>
        <v>2500</v>
      </c>
      <c r="M10" s="218">
        <f>[0]!SGBP000100col_TOT_VB_PERM_CHG</f>
        <v>-1053.9672000000012</v>
      </c>
      <c r="N10" s="218">
        <f>SUM(L10:M10)</f>
        <v>1446.0327999999988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1300</v>
      </c>
      <c r="AB10" s="335">
        <f>ROUND(PermVarBen*CECPerm+(CECPerm*PermVarBenChg),-2)</f>
        <v>300</v>
      </c>
      <c r="AC10" s="335">
        <f>SUM(AA10:AB10)</f>
        <v>1600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[0]!SGBP000100col_Group_Salary</f>
        <v>0</v>
      </c>
      <c r="H11" s="218">
        <v>0</v>
      </c>
      <c r="I11" s="218">
        <f>[0]!SGBP000100col_Group_Ben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[0]!SGBP000100col_TOTAL_ELECT_PCN_FTI</f>
        <v>0</v>
      </c>
      <c r="G12" s="218">
        <f>[0]!SGBP000100col_FTI_SALARY_ELECT</f>
        <v>0</v>
      </c>
      <c r="H12" s="218">
        <f>[0]!SGBP000100col_HEALTH_ELECT</f>
        <v>0</v>
      </c>
      <c r="I12" s="218">
        <f>[0]!SGBP000100col_TOT_VB_ELECT</f>
        <v>0</v>
      </c>
      <c r="J12" s="219">
        <f>SUM(G12:I12)</f>
        <v>0</v>
      </c>
      <c r="K12" s="268"/>
      <c r="L12" s="218">
        <f>[0]!SGBP000100col_HEALTH_ELECT_CHG</f>
        <v>0</v>
      </c>
      <c r="M12" s="218">
        <f>[0]!SGBP000100col_TOT_VB_ELECT_CHG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2</v>
      </c>
      <c r="G13" s="221">
        <f>SUM(G10:G12)</f>
        <v>126984</v>
      </c>
      <c r="H13" s="221">
        <f>SUM(H10:H12)</f>
        <v>25000</v>
      </c>
      <c r="I13" s="221">
        <f>SUM(I10:I12)</f>
        <v>26248.862639999999</v>
      </c>
      <c r="J13" s="219">
        <f>SUM(G13:I13)</f>
        <v>178232.86264000001</v>
      </c>
      <c r="K13" s="268"/>
      <c r="L13" s="219">
        <f>SUM(L10:L12)</f>
        <v>2500</v>
      </c>
      <c r="M13" s="219">
        <f>SUM(M10:M12)</f>
        <v>-1053.9672000000012</v>
      </c>
      <c r="N13" s="219">
        <f>SUM(N10:N12)</f>
        <v>1446.0327999999988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"&amp;'SGBP|0001-00'!FiscalYear-1</f>
        <v>FY 2023</v>
      </c>
      <c r="D15" s="158" t="s">
        <v>31</v>
      </c>
      <c r="E15" s="355">
        <v>177000</v>
      </c>
      <c r="F15" s="55">
        <v>2</v>
      </c>
      <c r="G15" s="223">
        <f>IF(OrigApprop=0,0,(G13/$J$13)*OrigApprop)</f>
        <v>126105.63319850856</v>
      </c>
      <c r="H15" s="223">
        <f>IF(OrigApprop=0,0,(H13/$J$13)*OrigApprop)</f>
        <v>24827.071363027731</v>
      </c>
      <c r="I15" s="223">
        <f>IF(G15=0,0,(I13/$J$13)*OrigApprop)</f>
        <v>26067.295438463705</v>
      </c>
      <c r="J15" s="223">
        <f>SUM(G15:I15)</f>
        <v>177000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-878.36680149144377</v>
      </c>
      <c r="H16" s="162">
        <f>H15-H13</f>
        <v>-172.92863697226858</v>
      </c>
      <c r="I16" s="162">
        <f>I15-I13</f>
        <v>-181.56720153629431</v>
      </c>
      <c r="J16" s="162">
        <f>J15-J13</f>
        <v>-1232.8626400000066</v>
      </c>
      <c r="K16" s="269"/>
      <c r="L16" s="56" t="str">
        <f>IF('SGBP|0001-00'!OrigApprop=0,"No Original Appropriation amount in DU 3.00 for this fund","Calculated "&amp;IF('SGBP|0001-00'!AdjustedTotal&gt;0,"overfunding ","underfunding ")&amp;"is "&amp;TEXT('SGBP|0001-00'!AdjustedTotal/'SGBP|0001-00'!AppropTotal,"#.0%;(#.0% );0% ;")&amp;" of Original Appropriation")</f>
        <v>Calculated underfunding is (.7%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</v>
      </c>
      <c r="G38" s="191">
        <f>SUMIF($E10:$E35,$E38,$G10:$G35)</f>
        <v>126984</v>
      </c>
      <c r="H38" s="192">
        <f>SUMIF($E10:$E35,$E38,$H10:$H35)</f>
        <v>25000</v>
      </c>
      <c r="I38" s="192">
        <f>SUMIF($E10:$E35,$E38,$I10:$I35)</f>
        <v>26248.862639999999</v>
      </c>
      <c r="J38" s="192">
        <f>SUM(G38:I38)</f>
        <v>178232.86264000001</v>
      </c>
      <c r="K38" s="166"/>
      <c r="L38" s="191">
        <f>SUMIF($E10:$E35,$E38,$L10:$L35)</f>
        <v>2500</v>
      </c>
      <c r="M38" s="192">
        <f>SUMIF($E10:$E35,$E38,$M10:$M35)</f>
        <v>-1053.9672000000012</v>
      </c>
      <c r="N38" s="192">
        <f>SUM(L38:M38)</f>
        <v>1446.0327999999988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1300</v>
      </c>
      <c r="AB38" s="338">
        <f>ROUND((AdjPermVB*CECPerm+AdjPermVBBY*CECPerm),-2)</f>
        <v>300</v>
      </c>
      <c r="AC38" s="338">
        <f>SUM(AA38:AB38)</f>
        <v>1600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2</v>
      </c>
      <c r="G41" s="195">
        <f>SUM($G$38:$G$40)</f>
        <v>126984</v>
      </c>
      <c r="H41" s="162">
        <f>SUM($H$38:$H$40)</f>
        <v>25000</v>
      </c>
      <c r="I41" s="162">
        <f>SUM($I$38:$I$40)</f>
        <v>26248.862639999999</v>
      </c>
      <c r="J41" s="162">
        <f>SUM($J$38:$J$40)</f>
        <v>178232.86264000001</v>
      </c>
      <c r="K41" s="259"/>
      <c r="L41" s="195">
        <f>SUM($L$38:$L$40)</f>
        <v>2500</v>
      </c>
      <c r="M41" s="162">
        <f>SUM($M$38:$M$40)</f>
        <v>-1053.9672000000012</v>
      </c>
      <c r="N41" s="162">
        <f>SUM(L41:M41)</f>
        <v>1446.0327999999988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-878.36680149144377</v>
      </c>
      <c r="H43" s="159">
        <f>H51-H41</f>
        <v>-172.92863697226858</v>
      </c>
      <c r="I43" s="159">
        <f>I51-I41</f>
        <v>-181.56720153629431</v>
      </c>
      <c r="J43" s="159">
        <f>SUM(G43:I43)</f>
        <v>-1232.8626400000066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underfunding is (.7% )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-884</v>
      </c>
      <c r="H44" s="159">
        <f>H60-H41</f>
        <v>-200</v>
      </c>
      <c r="I44" s="159">
        <f>I60-I41</f>
        <v>-148.86263999999937</v>
      </c>
      <c r="J44" s="159">
        <f>SUM(G44:I44)</f>
        <v>-1232.8626399999994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(.7% )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-884</v>
      </c>
      <c r="H45" s="206">
        <f>H67-H41-H63</f>
        <v>-200</v>
      </c>
      <c r="I45" s="206">
        <f>I67-I41-I63</f>
        <v>-148.86263999999937</v>
      </c>
      <c r="J45" s="159">
        <f>SUM(G45:I45)</f>
        <v>-1232.8626399999994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(.7% )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177000</v>
      </c>
      <c r="F51" s="272">
        <f>AppropFTP</f>
        <v>2</v>
      </c>
      <c r="G51" s="274">
        <f>IF(E51=0,0,(G41/$J$41)*$E$51)</f>
        <v>126105.63319850856</v>
      </c>
      <c r="H51" s="274">
        <f>IF(E51=0,0,(H41/$J$41)*$E$51)</f>
        <v>24827.071363027731</v>
      </c>
      <c r="I51" s="275">
        <f>IF(E51=0,0,(I41/$J$41)*$E$51)</f>
        <v>26067.295438463705</v>
      </c>
      <c r="J51" s="90">
        <f>SUM(G51:I51)</f>
        <v>177000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2</v>
      </c>
      <c r="G52" s="79">
        <f>ROUND(G51,-2)</f>
        <v>126100</v>
      </c>
      <c r="H52" s="79">
        <f>ROUND(H51,-2)</f>
        <v>24800</v>
      </c>
      <c r="I52" s="266">
        <f>ROUND(I51,-2)</f>
        <v>26100</v>
      </c>
      <c r="J52" s="80">
        <f>ROUND(J51,-2)</f>
        <v>177000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</v>
      </c>
      <c r="G56" s="80">
        <f>SUM(G52:G55)</f>
        <v>126100</v>
      </c>
      <c r="H56" s="80">
        <f>SUM(H52:H55)</f>
        <v>24800</v>
      </c>
      <c r="I56" s="260">
        <f>SUM(I52:I55)</f>
        <v>26100</v>
      </c>
      <c r="J56" s="80">
        <f>SUM(J52:J55)</f>
        <v>177000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</v>
      </c>
      <c r="G60" s="80">
        <f>SUM(G56:G59)</f>
        <v>126100</v>
      </c>
      <c r="H60" s="80">
        <f>SUM(H56:H59)</f>
        <v>24800</v>
      </c>
      <c r="I60" s="260">
        <f>SUM(I56:I59)</f>
        <v>26100</v>
      </c>
      <c r="J60" s="80">
        <f>SUM(J56:J59)</f>
        <v>177000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</v>
      </c>
      <c r="G67" s="80">
        <f>SUM(G60:G64)</f>
        <v>126100</v>
      </c>
      <c r="H67" s="80">
        <f>SUM(H60:H64)</f>
        <v>24800</v>
      </c>
      <c r="I67" s="80">
        <f>SUM(I60:I64)</f>
        <v>26100</v>
      </c>
      <c r="J67" s="80">
        <f>SUM(J60:J64)</f>
        <v>177000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2500</v>
      </c>
      <c r="I68" s="113"/>
      <c r="J68" s="287">
        <f>SUM(G68:I68)</f>
        <v>2500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-1100</v>
      </c>
      <c r="J69" s="287">
        <f>SUM(G69:I69)</f>
        <v>-1100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1300</v>
      </c>
      <c r="H72" s="287"/>
      <c r="I72" s="287">
        <f>ROUND(($G72*PermVBBY+$G72*Retire1BY),-2)</f>
        <v>300</v>
      </c>
      <c r="J72" s="113">
        <f>SUM(G72:I72)</f>
        <v>1600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</v>
      </c>
      <c r="G75" s="80">
        <f>SUM(G67:G74)</f>
        <v>127400</v>
      </c>
      <c r="H75" s="80">
        <f>SUM(H67:H74)</f>
        <v>27300</v>
      </c>
      <c r="I75" s="80">
        <f>SUM(I67:I74)</f>
        <v>25300</v>
      </c>
      <c r="J75" s="80">
        <f>SUM(J67:K74)</f>
        <v>180000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</v>
      </c>
      <c r="G80" s="80">
        <f>SUM(G75:G79)</f>
        <v>127400</v>
      </c>
      <c r="H80" s="80">
        <f>SUM(H75:H79)</f>
        <v>27300</v>
      </c>
      <c r="I80" s="80">
        <f>SUM(I75:I79)</f>
        <v>25300</v>
      </c>
      <c r="J80" s="80">
        <f>SUM(J75:J79)</f>
        <v>180000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5" priority="8">
      <formula>$J$44&lt;0</formula>
    </cfRule>
  </conditionalFormatting>
  <conditionalFormatting sqref="K43">
    <cfRule type="expression" dxfId="24" priority="7">
      <formula>$J$43&lt;0</formula>
    </cfRule>
  </conditionalFormatting>
  <conditionalFormatting sqref="L16">
    <cfRule type="expression" dxfId="23" priority="6">
      <formula>$J$16&lt;0</formula>
    </cfRule>
  </conditionalFormatting>
  <conditionalFormatting sqref="K45">
    <cfRule type="expression" dxfId="22" priority="5">
      <formula>$J$44&lt;0</formula>
    </cfRule>
  </conditionalFormatting>
  <conditionalFormatting sqref="K43:N45">
    <cfRule type="containsText" dxfId="21" priority="4" operator="containsText" text="underfunding">
      <formula>NOT(ISERROR(SEARCH("underfunding",K43)))</formula>
    </cfRule>
  </conditionalFormatting>
  <conditionalFormatting sqref="K44">
    <cfRule type="expression" dxfId="20" priority="3">
      <formula>$J$44&lt;0</formula>
    </cfRule>
  </conditionalFormatting>
  <conditionalFormatting sqref="K45">
    <cfRule type="expression" dxfId="19" priority="2">
      <formula>$J$44&lt;0</formula>
    </cfRule>
  </conditionalFormatting>
  <conditionalFormatting sqref="K45">
    <cfRule type="expression" dxfId="1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CE0F19-22CB-403C-A6EC-72B4456F37B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0AA0-D8D4-4195-8B00-D00F442C0756}">
  <sheetPr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258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441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259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268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259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266</v>
      </c>
      <c r="J5" s="411"/>
      <c r="K5" s="411"/>
      <c r="L5" s="410"/>
      <c r="M5" s="352" t="s">
        <v>113</v>
      </c>
      <c r="N5" s="32" t="s">
        <v>267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"&amp;'SGBP|0349-00'!FiscalYear-1&amp;" SALARY"</f>
        <v>FY 2023 SALARY</v>
      </c>
      <c r="H8" s="50" t="str">
        <f>"FY "&amp;'SGBP|0349-00'!FiscalYear-1&amp;" HEALTH BENEFITS"</f>
        <v>FY 2023 HEALTH BENEFITS</v>
      </c>
      <c r="I8" s="50" t="str">
        <f>"FY "&amp;'SGBP|0349-00'!FiscalYear-1&amp;" VAR BENEFITS"</f>
        <v>FY 2023 VAR BENEFITS</v>
      </c>
      <c r="J8" s="50" t="str">
        <f>"FY "&amp;'SGBP|0349-00'!FiscalYear-1&amp;" TOTAL"</f>
        <v>FY 2023 TOTAL</v>
      </c>
      <c r="K8" s="50" t="str">
        <f>"FY "&amp;'SGBP|0349-00'!FiscalYear&amp;" SALARY CHANGE"</f>
        <v>FY 2024 SALARY CHANGE</v>
      </c>
      <c r="L8" s="50" t="str">
        <f>"FY "&amp;'SGBP|0349-00'!FiscalYear&amp;" CHG HEALTH BENEFITS"</f>
        <v>FY 2024 CHG HEALTH BENEFITS</v>
      </c>
      <c r="M8" s="50" t="str">
        <f>"FY "&amp;'SGBP|0349-00'!FiscalYear&amp;"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[0]!SGBP034900col_INC_FTI</f>
        <v>1</v>
      </c>
      <c r="G10" s="218">
        <f>[0]!SGBP034900col_FTI_SALARY_PERM</f>
        <v>43284.800000000003</v>
      </c>
      <c r="H10" s="218">
        <f>[0]!SGBP034900col_HEALTH_PERM</f>
        <v>12500</v>
      </c>
      <c r="I10" s="218">
        <f>[0]!SGBP034900col_TOT_VB_PERM</f>
        <v>9186.9823759999999</v>
      </c>
      <c r="J10" s="219">
        <f>SUM(G10:I10)</f>
        <v>64971.782376000003</v>
      </c>
      <c r="K10" s="219">
        <f>[0]!SGBP034900col_1_27TH_PP</f>
        <v>0</v>
      </c>
      <c r="L10" s="218">
        <f>[0]!SGBP034900col_HEALTH_PERM_CHG</f>
        <v>1250</v>
      </c>
      <c r="M10" s="218">
        <f>[0]!SGBP034900col_TOT_VB_PERM_CHG</f>
        <v>-359.26384000000041</v>
      </c>
      <c r="N10" s="218">
        <f>SUM(L10:M10)</f>
        <v>890.73615999999959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400</v>
      </c>
      <c r="AB10" s="335">
        <f>ROUND(PermVarBen*CECPerm+(CECPerm*PermVarBenChg),-2)</f>
        <v>100</v>
      </c>
      <c r="AC10" s="335">
        <f>SUM(AA10:AB10)</f>
        <v>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[0]!SGBP034900col_Group_Salary</f>
        <v>0</v>
      </c>
      <c r="H11" s="218">
        <v>0</v>
      </c>
      <c r="I11" s="218">
        <f>[0]!SGBP034900col_Group_Ben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[0]!SGBP034900col_TOTAL_ELECT_PCN_FTI</f>
        <v>0</v>
      </c>
      <c r="G12" s="218">
        <f>[0]!SGBP034900col_FTI_SALARY_ELECT</f>
        <v>0</v>
      </c>
      <c r="H12" s="218">
        <f>[0]!SGBP034900col_HEALTH_ELECT</f>
        <v>0</v>
      </c>
      <c r="I12" s="218">
        <f>[0]!SGBP034900col_TOT_VB_ELECT</f>
        <v>0</v>
      </c>
      <c r="J12" s="219">
        <f>SUM(G12:I12)</f>
        <v>0</v>
      </c>
      <c r="K12" s="268"/>
      <c r="L12" s="218">
        <f>[0]!SGBP034900col_HEALTH_ELECT_CHG</f>
        <v>0</v>
      </c>
      <c r="M12" s="218">
        <f>[0]!SGBP034900col_TOT_VB_ELECT_CHG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1</v>
      </c>
      <c r="G13" s="221">
        <f>SUM(G10:G12)</f>
        <v>43284.800000000003</v>
      </c>
      <c r="H13" s="221">
        <f>SUM(H10:H12)</f>
        <v>12500</v>
      </c>
      <c r="I13" s="221">
        <f>SUM(I10:I12)</f>
        <v>9186.9823759999999</v>
      </c>
      <c r="J13" s="219">
        <f>SUM(G13:I13)</f>
        <v>64971.782376000003</v>
      </c>
      <c r="K13" s="268"/>
      <c r="L13" s="219">
        <f>SUM(L10:L12)</f>
        <v>1250</v>
      </c>
      <c r="M13" s="219">
        <f>SUM(M10:M12)</f>
        <v>-359.26384000000041</v>
      </c>
      <c r="N13" s="219">
        <f>SUM(N10:N12)</f>
        <v>890.73615999999959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"&amp;'SGBP|0349-00'!FiscalYear-1</f>
        <v>FY 2023</v>
      </c>
      <c r="D15" s="158" t="s">
        <v>31</v>
      </c>
      <c r="E15" s="355">
        <v>67000</v>
      </c>
      <c r="F15" s="55">
        <v>1</v>
      </c>
      <c r="G15" s="223">
        <f>IF(OrigApprop=0,0,(G13/$J$13)*OrigApprop)</f>
        <v>44636.017266955329</v>
      </c>
      <c r="H15" s="223">
        <f>IF(OrigApprop=0,0,(H13/$J$13)*OrigApprop)</f>
        <v>12890.211248219737</v>
      </c>
      <c r="I15" s="223">
        <f>IF(G15=0,0,(I13/$J$13)*OrigApprop)</f>
        <v>9473.7714848249343</v>
      </c>
      <c r="J15" s="223">
        <f>SUM(G15:I15)</f>
        <v>67000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1351.2172669553256</v>
      </c>
      <c r="H16" s="162">
        <f>H15-H13</f>
        <v>390.21124821973717</v>
      </c>
      <c r="I16" s="162">
        <f>I15-I13</f>
        <v>286.78910882493437</v>
      </c>
      <c r="J16" s="162">
        <f>J15-J13</f>
        <v>2028.2176239999972</v>
      </c>
      <c r="K16" s="269"/>
      <c r="L16" s="56" t="str">
        <f>IF('SGBP|0349-00'!OrigApprop=0,"No Original Appropriation amount in DU 3.00 for this fund","Calculated "&amp;IF('SGBP|0349-00'!AdjustedTotal&gt;0,"overfunding ","underfunding ")&amp;"is "&amp;TEXT('SGBP|0349-00'!AdjustedTotal/'SGBP|0349-00'!AppropTotal,"#.0%;(#.0% );0% ;")&amp;" of Original Appropriation")</f>
        <v>Calculated overfunding is 3.0%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</v>
      </c>
      <c r="G38" s="191">
        <f>SUMIF($E10:$E35,$E38,$G10:$G35)</f>
        <v>43284.800000000003</v>
      </c>
      <c r="H38" s="192">
        <f>SUMIF($E10:$E35,$E38,$H10:$H35)</f>
        <v>12500</v>
      </c>
      <c r="I38" s="192">
        <f>SUMIF($E10:$E35,$E38,$I10:$I35)</f>
        <v>9186.9823759999999</v>
      </c>
      <c r="J38" s="192">
        <f>SUM(G38:I38)</f>
        <v>64971.782376000003</v>
      </c>
      <c r="K38" s="166"/>
      <c r="L38" s="191">
        <f>SUMIF($E10:$E35,$E38,$L10:$L35)</f>
        <v>1250</v>
      </c>
      <c r="M38" s="192">
        <f>SUMIF($E10:$E35,$E38,$M10:$M35)</f>
        <v>-359.26384000000041</v>
      </c>
      <c r="N38" s="192">
        <f>SUM(L38:M38)</f>
        <v>890.73615999999959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400</v>
      </c>
      <c r="AB38" s="338">
        <f>ROUND((AdjPermVB*CECPerm+AdjPermVBBY*CECPerm),-2)</f>
        <v>100</v>
      </c>
      <c r="AC38" s="338">
        <f>SUM(AA38:AB38)</f>
        <v>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1</v>
      </c>
      <c r="G41" s="195">
        <f>SUM($G$38:$G$40)</f>
        <v>43284.800000000003</v>
      </c>
      <c r="H41" s="162">
        <f>SUM($H$38:$H$40)</f>
        <v>12500</v>
      </c>
      <c r="I41" s="162">
        <f>SUM($I$38:$I$40)</f>
        <v>9186.9823759999999</v>
      </c>
      <c r="J41" s="162">
        <f>SUM($J$38:$J$40)</f>
        <v>64971.782376000003</v>
      </c>
      <c r="K41" s="259"/>
      <c r="L41" s="195">
        <f>SUM($L$38:$L$40)</f>
        <v>1250</v>
      </c>
      <c r="M41" s="162">
        <f>SUM($M$38:$M$40)</f>
        <v>-359.26384000000041</v>
      </c>
      <c r="N41" s="162">
        <f>SUM(L41:M41)</f>
        <v>890.73615999999959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1351.2172669553256</v>
      </c>
      <c r="H43" s="159">
        <f>H51-H41</f>
        <v>390.21124821973717</v>
      </c>
      <c r="I43" s="159">
        <f>I51-I41</f>
        <v>286.78910882493437</v>
      </c>
      <c r="J43" s="159">
        <f>SUM(G43:I43)</f>
        <v>2028.2176239999972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3.0%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1315.1999999999971</v>
      </c>
      <c r="H44" s="159">
        <f>H60-H41</f>
        <v>400</v>
      </c>
      <c r="I44" s="159">
        <f>I60-I41</f>
        <v>313.01762400000007</v>
      </c>
      <c r="J44" s="159">
        <f>SUM(G44:I44)</f>
        <v>2028.2176239999972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3.0%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1315.1999999999971</v>
      </c>
      <c r="H45" s="206">
        <f>H67-H41-H63</f>
        <v>400</v>
      </c>
      <c r="I45" s="206">
        <f>I67-I41-I63</f>
        <v>313.01762400000007</v>
      </c>
      <c r="J45" s="159">
        <f>SUM(G45:I45)</f>
        <v>2028.2176239999972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3.0%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67000</v>
      </c>
      <c r="F51" s="272">
        <f>AppropFTP</f>
        <v>1</v>
      </c>
      <c r="G51" s="274">
        <f>IF(E51=0,0,(G41/$J$41)*$E$51)</f>
        <v>44636.017266955329</v>
      </c>
      <c r="H51" s="274">
        <f>IF(E51=0,0,(H41/$J$41)*$E$51)</f>
        <v>12890.211248219737</v>
      </c>
      <c r="I51" s="275">
        <f>IF(E51=0,0,(I41/$J$41)*$E$51)</f>
        <v>9473.7714848249343</v>
      </c>
      <c r="J51" s="90">
        <f>SUM(G51:I51)</f>
        <v>67000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44600</v>
      </c>
      <c r="H52" s="79">
        <f>ROUND(H51,-2)</f>
        <v>12900</v>
      </c>
      <c r="I52" s="266">
        <f>ROUND(I51,-2)</f>
        <v>9500</v>
      </c>
      <c r="J52" s="80">
        <f>ROUND(J51,-2)</f>
        <v>67000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</v>
      </c>
      <c r="G56" s="80">
        <f>SUM(G52:G55)</f>
        <v>44600</v>
      </c>
      <c r="H56" s="80">
        <f>SUM(H52:H55)</f>
        <v>12900</v>
      </c>
      <c r="I56" s="260">
        <f>SUM(I52:I55)</f>
        <v>9500</v>
      </c>
      <c r="J56" s="80">
        <f>SUM(J52:J55)</f>
        <v>67000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</v>
      </c>
      <c r="G60" s="80">
        <f>SUM(G56:G59)</f>
        <v>44600</v>
      </c>
      <c r="H60" s="80">
        <f>SUM(H56:H59)</f>
        <v>12900</v>
      </c>
      <c r="I60" s="260">
        <f>SUM(I56:I59)</f>
        <v>9500</v>
      </c>
      <c r="J60" s="80">
        <f>SUM(J56:J59)</f>
        <v>67000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</v>
      </c>
      <c r="G67" s="80">
        <f>SUM(G60:G64)</f>
        <v>44600</v>
      </c>
      <c r="H67" s="80">
        <f>SUM(H60:H64)</f>
        <v>12900</v>
      </c>
      <c r="I67" s="80">
        <f>SUM(I60:I64)</f>
        <v>9500</v>
      </c>
      <c r="J67" s="80">
        <f>SUM(J60:J64)</f>
        <v>67000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1300</v>
      </c>
      <c r="I68" s="113"/>
      <c r="J68" s="287">
        <f>SUM(G68:I68)</f>
        <v>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400</v>
      </c>
      <c r="H72" s="287"/>
      <c r="I72" s="287">
        <f>ROUND(($G72*PermVBBY+$G72*Retire1BY),-2)</f>
        <v>100</v>
      </c>
      <c r="J72" s="113">
        <f>SUM(G72:I72)</f>
        <v>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</v>
      </c>
      <c r="G75" s="80">
        <f>SUM(G67:G74)</f>
        <v>45000</v>
      </c>
      <c r="H75" s="80">
        <f>SUM(H67:H74)</f>
        <v>14200</v>
      </c>
      <c r="I75" s="80">
        <f>SUM(I67:I74)</f>
        <v>9200</v>
      </c>
      <c r="J75" s="80">
        <f>SUM(J67:K74)</f>
        <v>68400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</v>
      </c>
      <c r="G80" s="80">
        <f>SUM(G75:G79)</f>
        <v>45000</v>
      </c>
      <c r="H80" s="80">
        <f>SUM(H75:H79)</f>
        <v>14200</v>
      </c>
      <c r="I80" s="80">
        <f>SUM(I75:I79)</f>
        <v>9200</v>
      </c>
      <c r="J80" s="80">
        <f>SUM(J75:J79)</f>
        <v>68400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7" priority="8">
      <formula>$J$44&lt;0</formula>
    </cfRule>
  </conditionalFormatting>
  <conditionalFormatting sqref="K43">
    <cfRule type="expression" dxfId="16" priority="7">
      <formula>$J$43&lt;0</formula>
    </cfRule>
  </conditionalFormatting>
  <conditionalFormatting sqref="L16">
    <cfRule type="expression" dxfId="15" priority="6">
      <formula>$J$16&lt;0</formula>
    </cfRule>
  </conditionalFormatting>
  <conditionalFormatting sqref="K45">
    <cfRule type="expression" dxfId="14" priority="5">
      <formula>$J$44&lt;0</formula>
    </cfRule>
  </conditionalFormatting>
  <conditionalFormatting sqref="K43:N45">
    <cfRule type="containsText" dxfId="13" priority="4" operator="containsText" text="underfunding">
      <formula>NOT(ISERROR(SEARCH("underfunding",K43)))</formula>
    </cfRule>
  </conditionalFormatting>
  <conditionalFormatting sqref="K44">
    <cfRule type="expression" dxfId="12" priority="3">
      <formula>$J$44&lt;0</formula>
    </cfRule>
  </conditionalFormatting>
  <conditionalFormatting sqref="K45">
    <cfRule type="expression" dxfId="11" priority="2">
      <formula>$J$44&lt;0</formula>
    </cfRule>
  </conditionalFormatting>
  <conditionalFormatting sqref="K45">
    <cfRule type="expression" dxfId="1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0A99DA-49CD-4E87-8A50-CE501FA8385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3"/>
  <sheetViews>
    <sheetView workbookViewId="0">
      <pane xSplit="3" ySplit="1" topLeftCell="AO2" activePane="bottomRight" state="frozen"/>
      <selection pane="topRight" activeCell="D1" sqref="D1"/>
      <selection pane="bottomLeft" activeCell="A2" sqref="A2"/>
      <selection pane="bottomRight" activeCell="AP10" sqref="AP10"/>
    </sheetView>
  </sheetViews>
  <sheetFormatPr defaultRowHeight="15"/>
  <cols>
    <col min="45" max="53" width="15.7109375" customWidth="1"/>
    <col min="54" max="54" width="10.85546875" bestFit="1" customWidth="1"/>
    <col min="55" max="55" width="9.28515625" bestFit="1" customWidth="1"/>
    <col min="56" max="57" width="9.7109375" bestFit="1" customWidth="1"/>
    <col min="58" max="58" width="10.85546875" bestFit="1" customWidth="1"/>
    <col min="59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9" width="9.7109375" bestFit="1" customWidth="1"/>
    <col min="70" max="70" width="10.85546875" bestFit="1" customWidth="1"/>
    <col min="71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7" width="9.28515625" bestFit="1" customWidth="1"/>
    <col min="88" max="88" width="10.42578125" bestFit="1" customWidth="1"/>
    <col min="89" max="91" width="9.28515625" bestFit="1" customWidth="1"/>
  </cols>
  <sheetData>
    <row r="1" spans="1:92" ht="12.75" customHeight="1" thickBot="1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208</v>
      </c>
      <c r="AT1" s="386" t="s">
        <v>209</v>
      </c>
      <c r="AU1" s="386" t="s">
        <v>210</v>
      </c>
      <c r="AV1" s="386" t="s">
        <v>211</v>
      </c>
      <c r="AW1" s="386" t="s">
        <v>212</v>
      </c>
      <c r="AX1" s="386" t="s">
        <v>213</v>
      </c>
      <c r="AY1" s="386" t="s">
        <v>214</v>
      </c>
      <c r="AZ1" s="386" t="s">
        <v>215</v>
      </c>
      <c r="BA1" s="388" t="s">
        <v>216</v>
      </c>
      <c r="BB1" s="389" t="s">
        <v>217</v>
      </c>
      <c r="BC1" s="389" t="s">
        <v>218</v>
      </c>
      <c r="BD1" s="389" t="s">
        <v>219</v>
      </c>
      <c r="BE1" s="389" t="s">
        <v>220</v>
      </c>
      <c r="BF1" s="389" t="s">
        <v>221</v>
      </c>
      <c r="BG1" s="389" t="s">
        <v>222</v>
      </c>
      <c r="BH1" s="389" t="s">
        <v>223</v>
      </c>
      <c r="BI1" s="389" t="s">
        <v>224</v>
      </c>
      <c r="BJ1" s="389" t="s">
        <v>225</v>
      </c>
      <c r="BK1" s="389" t="s">
        <v>226</v>
      </c>
      <c r="BL1" s="390" t="s">
        <v>227</v>
      </c>
      <c r="BM1" s="390" t="s">
        <v>228</v>
      </c>
      <c r="BN1" s="389" t="s">
        <v>229</v>
      </c>
      <c r="BO1" s="389" t="s">
        <v>230</v>
      </c>
      <c r="BP1" s="389" t="s">
        <v>231</v>
      </c>
      <c r="BQ1" s="389" t="s">
        <v>232</v>
      </c>
      <c r="BR1" s="389" t="s">
        <v>233</v>
      </c>
      <c r="BS1" s="389" t="s">
        <v>234</v>
      </c>
      <c r="BT1" s="389" t="s">
        <v>235</v>
      </c>
      <c r="BU1" s="389" t="s">
        <v>236</v>
      </c>
      <c r="BV1" s="389" t="s">
        <v>237</v>
      </c>
      <c r="BW1" s="389" t="s">
        <v>238</v>
      </c>
      <c r="BX1" s="390" t="s">
        <v>239</v>
      </c>
      <c r="BY1" s="390" t="s">
        <v>240</v>
      </c>
      <c r="BZ1" s="389" t="s">
        <v>241</v>
      </c>
      <c r="CA1" s="389" t="s">
        <v>242</v>
      </c>
      <c r="CB1" s="389" t="s">
        <v>243</v>
      </c>
      <c r="CC1" s="389" t="s">
        <v>244</v>
      </c>
      <c r="CD1" s="389" t="s">
        <v>245</v>
      </c>
      <c r="CE1" s="389" t="s">
        <v>246</v>
      </c>
      <c r="CF1" s="389" t="s">
        <v>247</v>
      </c>
      <c r="CG1" s="389" t="s">
        <v>248</v>
      </c>
      <c r="CH1" s="389" t="s">
        <v>249</v>
      </c>
      <c r="CI1" s="389" t="s">
        <v>250</v>
      </c>
      <c r="CJ1" s="390" t="s">
        <v>251</v>
      </c>
      <c r="CK1" s="390" t="s">
        <v>252</v>
      </c>
      <c r="CL1" s="391" t="s">
        <v>253</v>
      </c>
      <c r="CM1" s="391" t="s">
        <v>254</v>
      </c>
      <c r="CN1" s="391" t="s">
        <v>255</v>
      </c>
    </row>
    <row r="2" spans="1:92" ht="15.75" thickBot="1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5">
        <v>1</v>
      </c>
      <c r="Q2" s="385">
        <v>1</v>
      </c>
      <c r="R2" s="381">
        <v>80</v>
      </c>
      <c r="S2" s="385">
        <v>1</v>
      </c>
      <c r="T2" s="381">
        <v>38396.800000000003</v>
      </c>
      <c r="U2" s="381">
        <v>0</v>
      </c>
      <c r="V2" s="381">
        <v>19677.86</v>
      </c>
      <c r="W2" s="381">
        <v>42140.800000000003</v>
      </c>
      <c r="X2" s="381">
        <v>21210.9</v>
      </c>
      <c r="Y2" s="381">
        <v>42140.800000000003</v>
      </c>
      <c r="Z2" s="381">
        <v>22111.13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171</v>
      </c>
      <c r="AH2" s="382">
        <v>20.260000000000002</v>
      </c>
      <c r="AI2" s="382">
        <v>37931.4</v>
      </c>
      <c r="AJ2" s="377" t="s">
        <v>179</v>
      </c>
      <c r="AK2" s="377" t="s">
        <v>180</v>
      </c>
      <c r="AL2" s="377" t="s">
        <v>181</v>
      </c>
      <c r="AM2" s="377" t="s">
        <v>182</v>
      </c>
      <c r="AN2" s="377" t="s">
        <v>66</v>
      </c>
      <c r="AO2" s="380">
        <v>80</v>
      </c>
      <c r="AP2" s="385">
        <v>1</v>
      </c>
      <c r="AQ2" s="385">
        <v>1</v>
      </c>
      <c r="AR2" s="383" t="s">
        <v>183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IF(AT2=0,"",IF(AND(AT2=1,M2="F",SUMIF(C2:C8,C2,AS2:AS8)&lt;=1),SUMIF(C2:C8,C2,AS2:AS8),IF(AND(AT2=1,M2="F",SUMIF(C2:C8,C2,AS2:AS8)&gt;1),1,"")))</f>
        <v>1</v>
      </c>
      <c r="AV2" s="387" t="str">
        <f>IF(AT2=0,"",IF(AND(AT2=3,M2="F",SUMIF(C2:C8,C2,AS2:AS8)&lt;=1),SUMIF(C2:C8,C2,AS2:AS8),IF(AND(AT2=3,M2="F",SUMIF(C2:C8,C2,AS2:AS8)&gt;1),1,"")))</f>
        <v/>
      </c>
      <c r="AW2" s="387">
        <f>SUMIF(C2:C8,C2,O2:O8)</f>
        <v>2</v>
      </c>
      <c r="AX2" s="387">
        <f>IF(AND(M2="F",AS2&lt;&gt;0),SUMIF(C2:C8,C2,W2:W8),0)</f>
        <v>42140.800000000003</v>
      </c>
      <c r="AY2" s="387">
        <f>IF(AT2=1,W2,"")</f>
        <v>42140.800000000003</v>
      </c>
      <c r="AZ2" s="387" t="str">
        <f>IF(AT2=3,W2,"")</f>
        <v/>
      </c>
      <c r="BA2" s="387">
        <f>IF(AT2=1,Y2-W2,0)</f>
        <v>0</v>
      </c>
      <c r="BB2" s="387">
        <f t="shared" ref="BB2:BB8" si="0">IF(AND(AT2=1,AK2="E",AU2&gt;=0.75,AW2=1),Health,IF(AND(AT2=1,AK2="E",AU2&gt;=0.75),Health*P2,IF(AND(AT2=1,AK2="E",AU2&gt;=0.5,AW2=1),PTHealth,IF(AND(AT2=1,AK2="E",AU2&gt;=0.5),PTHealth*P2,0))))</f>
        <v>12500</v>
      </c>
      <c r="BC2" s="387">
        <f t="shared" ref="BC2:BC8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8" si="2">IF(AND(AT2&lt;&gt;0,AX2&gt;=MAXSSDI),SSDI*MAXSSDI*P2,IF(AT2&lt;&gt;0,SSDI*W2,0))</f>
        <v>2612.7296000000001</v>
      </c>
      <c r="BE2" s="387">
        <f t="shared" ref="BE2:BE8" si="3">IF(AT2&lt;&gt;0,SSHI*W2,0)</f>
        <v>611.04160000000002</v>
      </c>
      <c r="BF2" s="387">
        <f t="shared" ref="BF2:BF8" si="4">IF(AND(AT2&lt;&gt;0,AN2&lt;&gt;"NE"),VLOOKUP(AN2,Retirement_Rates,3,FALSE)*W2,0)</f>
        <v>5031.6115200000004</v>
      </c>
      <c r="BG2" s="387">
        <f t="shared" ref="BG2:BG8" si="5">IF(AND(AT2&lt;&gt;0,AJ2&lt;&gt;"PF"),Life*W2,0)</f>
        <v>303.83516800000001</v>
      </c>
      <c r="BH2" s="387">
        <f t="shared" ref="BH2:BH8" si="6">IF(AND(AT2&lt;&gt;0,AM2="Y"),UI*W2,0)</f>
        <v>0</v>
      </c>
      <c r="BI2" s="387">
        <f t="shared" ref="BI2:BI8" si="7">IF(AND(AT2&lt;&gt;0,N2&lt;&gt;"NR"),DHR*W2,0)</f>
        <v>0</v>
      </c>
      <c r="BJ2" s="387">
        <f t="shared" ref="BJ2:BJ8" si="8">IF(AT2&lt;&gt;0,WC*W2,0)</f>
        <v>151.70688000000001</v>
      </c>
      <c r="BK2" s="387">
        <f t="shared" ref="BK2:BK8" si="9">IF(OR(AND(AT2&lt;&gt;0,AJ2&lt;&gt;"PF",AN2&lt;&gt;"NE",AG2&lt;&gt;"A"),AND(AL2="E",OR(AT2=1,AT2=3))),Sick*W2,0)</f>
        <v>0</v>
      </c>
      <c r="BL2" s="387">
        <f>IF(AT2=1,SUM(BD2:BK2),0)</f>
        <v>8710.9247680000008</v>
      </c>
      <c r="BM2" s="387">
        <f>IF(AT2=3,SUM(BD2:BK2),0)</f>
        <v>0</v>
      </c>
      <c r="BN2" s="387">
        <f t="shared" ref="BN2:BN8" si="10">IF(AND(AT2=1,AK2="E",AU2&gt;=0.75,AW2=1),HealthBY,IF(AND(AT2=1,AK2="E",AU2&gt;=0.75),HealthBY*P2,IF(AND(AT2=1,AK2="E",AU2&gt;=0.5,AW2=1),PTHealthBY,IF(AND(AT2=1,AK2="E",AU2&gt;=0.5),PTHealthBY*P2,0))))</f>
        <v>13750</v>
      </c>
      <c r="BO2" s="387">
        <f t="shared" ref="BO2:BO8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8" si="12">IF(AND(AT2&lt;&gt;0,(AX2+BA2)&gt;=MAXSSDIBY),SSDIBY*MAXSSDIBY*P2,IF(AT2&lt;&gt;0,SSDIBY*W2,0))</f>
        <v>2612.7296000000001</v>
      </c>
      <c r="BQ2" s="387">
        <f t="shared" ref="BQ2:BQ8" si="13">IF(AT2&lt;&gt;0,SSHIBY*W2,0)</f>
        <v>611.04160000000002</v>
      </c>
      <c r="BR2" s="387">
        <f t="shared" ref="BR2:BR8" si="14">IF(AND(AT2&lt;&gt;0,AN2&lt;&gt;"NE"),VLOOKUP(AN2,Retirement_Rates,4,FALSE)*W2,0)</f>
        <v>4711.3414400000001</v>
      </c>
      <c r="BS2" s="387">
        <f t="shared" ref="BS2:BS8" si="15">IF(AND(AT2&lt;&gt;0,AJ2&lt;&gt;"PF"),LifeBY*W2,0)</f>
        <v>303.83516800000001</v>
      </c>
      <c r="BT2" s="387">
        <f t="shared" ref="BT2:BT8" si="16">IF(AND(AT2&lt;&gt;0,AM2="Y"),UIBY*W2,0)</f>
        <v>0</v>
      </c>
      <c r="BU2" s="387">
        <f t="shared" ref="BU2:BU8" si="17">IF(AND(AT2&lt;&gt;0,N2&lt;&gt;"NR"),DHRBY*W2,0)</f>
        <v>0</v>
      </c>
      <c r="BV2" s="387">
        <f t="shared" ref="BV2:BV8" si="18">IF(AT2&lt;&gt;0,WCBY*W2,0)</f>
        <v>122.20832</v>
      </c>
      <c r="BW2" s="387">
        <f t="shared" ref="BW2:BW8" si="19">IF(OR(AND(AT2&lt;&gt;0,AJ2&lt;&gt;"PF",AN2&lt;&gt;"NE",AG2&lt;&gt;"A"),AND(AL2="E",OR(AT2=1,AT2=3))),SickBY*W2,0)</f>
        <v>0</v>
      </c>
      <c r="BX2" s="387">
        <f>IF(AT2=1,SUM(BP2:BW2),0)</f>
        <v>8361.1561280000005</v>
      </c>
      <c r="BY2" s="387">
        <f>IF(AT2=3,SUM(BP2:BW2),0)</f>
        <v>0</v>
      </c>
      <c r="BZ2" s="387">
        <f>IF(AT2=1,BN2-BB2,0)</f>
        <v>1250</v>
      </c>
      <c r="CA2" s="387">
        <f>IF(AT2=3,BO2-BC2,0)</f>
        <v>0</v>
      </c>
      <c r="CB2" s="387">
        <f>BP2-BD2</f>
        <v>0</v>
      </c>
      <c r="CC2" s="387">
        <f t="shared" ref="CC2:CC8" si="20">IF(AT2&lt;&gt;0,SSHICHG*Y2,0)</f>
        <v>0</v>
      </c>
      <c r="CD2" s="387">
        <f t="shared" ref="CD2:CD8" si="21">IF(AND(AT2&lt;&gt;0,AN2&lt;&gt;"NE"),VLOOKUP(AN2,Retirement_Rates,5,FALSE)*Y2,0)</f>
        <v>-320.27008000000041</v>
      </c>
      <c r="CE2" s="387">
        <f t="shared" ref="CE2:CE8" si="22">IF(AND(AT2&lt;&gt;0,AJ2&lt;&gt;"PF"),LifeCHG*Y2,0)</f>
        <v>0</v>
      </c>
      <c r="CF2" s="387">
        <f t="shared" ref="CF2:CF8" si="23">IF(AND(AT2&lt;&gt;0,AM2="Y"),UICHG*Y2,0)</f>
        <v>0</v>
      </c>
      <c r="CG2" s="387">
        <f t="shared" ref="CG2:CG8" si="24">IF(AND(AT2&lt;&gt;0,N2&lt;&gt;"NR"),DHRCHG*Y2,0)</f>
        <v>0</v>
      </c>
      <c r="CH2" s="387">
        <f t="shared" ref="CH2:CH8" si="25">IF(AT2&lt;&gt;0,WCCHG*Y2,0)</f>
        <v>-29.498560000000005</v>
      </c>
      <c r="CI2" s="387">
        <f t="shared" ref="CI2:CI8" si="26">IF(OR(AND(AT2&lt;&gt;0,AJ2&lt;&gt;"PF",AN2&lt;&gt;"NE",AG2&lt;&gt;"A"),AND(AL2="E",OR(AT2=1,AT2=3))),SickCHG*Y2,0)</f>
        <v>0</v>
      </c>
      <c r="CJ2" s="387">
        <f>IF(AT2=1,SUM(CB2:CI2),0)</f>
        <v>-349.7686400000004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>
      <c r="A3" s="377" t="s">
        <v>162</v>
      </c>
      <c r="B3" s="377" t="s">
        <v>163</v>
      </c>
      <c r="C3" s="377" t="s">
        <v>166</v>
      </c>
      <c r="D3" s="377" t="s">
        <v>184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185</v>
      </c>
      <c r="L3" s="377" t="s">
        <v>167</v>
      </c>
      <c r="M3" s="377" t="s">
        <v>172</v>
      </c>
      <c r="N3" s="377" t="s">
        <v>173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78332.800000000003</v>
      </c>
      <c r="U3" s="381">
        <v>0</v>
      </c>
      <c r="V3" s="381">
        <v>27617.89</v>
      </c>
      <c r="W3" s="381">
        <v>84843.199999999997</v>
      </c>
      <c r="X3" s="381">
        <v>30037.9</v>
      </c>
      <c r="Y3" s="381">
        <v>84843.199999999997</v>
      </c>
      <c r="Z3" s="381">
        <v>30583.7</v>
      </c>
      <c r="AA3" s="377" t="s">
        <v>186</v>
      </c>
      <c r="AB3" s="377" t="s">
        <v>187</v>
      </c>
      <c r="AC3" s="377" t="s">
        <v>188</v>
      </c>
      <c r="AD3" s="377" t="s">
        <v>189</v>
      </c>
      <c r="AE3" s="377" t="s">
        <v>185</v>
      </c>
      <c r="AF3" s="377" t="s">
        <v>190</v>
      </c>
      <c r="AG3" s="377" t="s">
        <v>171</v>
      </c>
      <c r="AH3" s="382">
        <v>40.79</v>
      </c>
      <c r="AI3" s="382">
        <v>49235.4</v>
      </c>
      <c r="AJ3" s="377" t="s">
        <v>179</v>
      </c>
      <c r="AK3" s="377" t="s">
        <v>180</v>
      </c>
      <c r="AL3" s="377" t="s">
        <v>181</v>
      </c>
      <c r="AM3" s="377" t="s">
        <v>181</v>
      </c>
      <c r="AN3" s="377" t="s">
        <v>66</v>
      </c>
      <c r="AO3" s="380">
        <v>80</v>
      </c>
      <c r="AP3" s="385">
        <v>1</v>
      </c>
      <c r="AQ3" s="385">
        <v>1</v>
      </c>
      <c r="AR3" s="383" t="s">
        <v>183</v>
      </c>
      <c r="AS3" s="387">
        <f t="shared" ref="AS3:AS8" si="27">IF(((AO3/80)*AP3*P3)&gt;1,AQ3,((AO3/80)*AP3*P3))</f>
        <v>1</v>
      </c>
      <c r="AT3">
        <f t="shared" ref="AT3:AT8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IF(AT3=0,"",IF(AND(AT3=1,M3="F",SUMIF(C2:C8,C3,AS2:AS8)&lt;=1),SUMIF(C2:C8,C3,AS2:AS8),IF(AND(AT3=1,M3="F",SUMIF(C2:C8,C3,AS2:AS8)&gt;1),1,"")))</f>
        <v>1</v>
      </c>
      <c r="AV3" s="387" t="str">
        <f>IF(AT3=0,"",IF(AND(AT3=3,M3="F",SUMIF(C2:C8,C3,AS2:AS8)&lt;=1),SUMIF(C2:C8,C3,AS2:AS8),IF(AND(AT3=3,M3="F",SUMIF(C2:C8,C3,AS2:AS8)&gt;1),1,"")))</f>
        <v/>
      </c>
      <c r="AW3" s="387">
        <f>SUMIF(C2:C8,C3,O2:O8)</f>
        <v>2</v>
      </c>
      <c r="AX3" s="387">
        <f>IF(AND(M3="F",AS3&lt;&gt;0),SUMIF(C2:C8,C3,W2:W8),0)</f>
        <v>84843.199999999997</v>
      </c>
      <c r="AY3" s="387">
        <f t="shared" ref="AY3:AY8" si="29">IF(AT3=1,W3,"")</f>
        <v>84843.199999999997</v>
      </c>
      <c r="AZ3" s="387" t="str">
        <f t="shared" ref="AZ3:AZ8" si="30">IF(AT3=3,W3,"")</f>
        <v/>
      </c>
      <c r="BA3" s="387">
        <f t="shared" ref="BA3:BA8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5260.2784000000001</v>
      </c>
      <c r="BE3" s="387">
        <f t="shared" si="3"/>
        <v>1230.2264</v>
      </c>
      <c r="BF3" s="387">
        <f t="shared" si="4"/>
        <v>10130.27808</v>
      </c>
      <c r="BG3" s="387">
        <f t="shared" si="5"/>
        <v>611.719472</v>
      </c>
      <c r="BH3" s="387">
        <f t="shared" si="6"/>
        <v>0</v>
      </c>
      <c r="BI3" s="387">
        <f t="shared" si="7"/>
        <v>0</v>
      </c>
      <c r="BJ3" s="387">
        <f t="shared" si="8"/>
        <v>305.43552</v>
      </c>
      <c r="BK3" s="387">
        <f t="shared" si="9"/>
        <v>0</v>
      </c>
      <c r="BL3" s="387">
        <f t="shared" ref="BL3:BL8" si="32">IF(AT3=1,SUM(BD3:BK3),0)</f>
        <v>17537.937871999999</v>
      </c>
      <c r="BM3" s="387">
        <f t="shared" ref="BM3:BM8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5260.2784000000001</v>
      </c>
      <c r="BQ3" s="387">
        <f t="shared" si="13"/>
        <v>1230.2264</v>
      </c>
      <c r="BR3" s="387">
        <f t="shared" si="14"/>
        <v>9485.46976</v>
      </c>
      <c r="BS3" s="387">
        <f t="shared" si="15"/>
        <v>611.719472</v>
      </c>
      <c r="BT3" s="387">
        <f t="shared" si="16"/>
        <v>0</v>
      </c>
      <c r="BU3" s="387">
        <f t="shared" si="17"/>
        <v>0</v>
      </c>
      <c r="BV3" s="387">
        <f t="shared" si="18"/>
        <v>246.04527999999996</v>
      </c>
      <c r="BW3" s="387">
        <f t="shared" si="19"/>
        <v>0</v>
      </c>
      <c r="BX3" s="387">
        <f t="shared" ref="BX3:BX8" si="34">IF(AT3=1,SUM(BP3:BW3),0)</f>
        <v>16833.739311999998</v>
      </c>
      <c r="BY3" s="387">
        <f t="shared" ref="BY3:BY8" si="35">IF(AT3=3,SUM(BP3:BW3),0)</f>
        <v>0</v>
      </c>
      <c r="BZ3" s="387">
        <f t="shared" ref="BZ3:BZ8" si="36">IF(AT3=1,BN3-BB3,0)</f>
        <v>1250</v>
      </c>
      <c r="CA3" s="387">
        <f t="shared" ref="CA3:CA8" si="37">IF(AT3=3,BO3-BC3,0)</f>
        <v>0</v>
      </c>
      <c r="CB3" s="387">
        <f t="shared" ref="CB3:CB8" si="38">BP3-BD3</f>
        <v>0</v>
      </c>
      <c r="CC3" s="387">
        <f t="shared" si="20"/>
        <v>0</v>
      </c>
      <c r="CD3" s="387">
        <f t="shared" si="21"/>
        <v>-644.80832000000078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-59.390240000000006</v>
      </c>
      <c r="CI3" s="387">
        <f t="shared" si="26"/>
        <v>0</v>
      </c>
      <c r="CJ3" s="387">
        <f t="shared" ref="CJ3:CJ8" si="39">IF(AT3=1,SUM(CB3:CI3),0)</f>
        <v>-704.19856000000073</v>
      </c>
      <c r="CK3" s="387" t="str">
        <f t="shared" ref="CK3:CK8" si="40">IF(AT3=3,SUM(CB3:CI3),"")</f>
        <v/>
      </c>
      <c r="CL3" s="387" t="str">
        <f t="shared" ref="CL3:CL8" si="41">IF(OR(N3="NG",AG3="D"),(T3+U3),"")</f>
        <v/>
      </c>
      <c r="CM3" s="387" t="str">
        <f t="shared" ref="CM3:CM8" si="42">IF(OR(N3="NG",AG3="D"),V3,"")</f>
        <v/>
      </c>
      <c r="CN3" s="387" t="str">
        <f t="shared" ref="CN3:CN8" si="43">E3 &amp; "-" &amp; F3</f>
        <v>0001-00</v>
      </c>
    </row>
    <row r="4" spans="1:92" ht="15.75" thickBot="1">
      <c r="A4" s="377" t="s">
        <v>162</v>
      </c>
      <c r="B4" s="377" t="s">
        <v>163</v>
      </c>
      <c r="C4" s="377" t="s">
        <v>191</v>
      </c>
      <c r="D4" s="377" t="s">
        <v>192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193</v>
      </c>
      <c r="L4" s="377" t="s">
        <v>167</v>
      </c>
      <c r="M4" s="377" t="s">
        <v>194</v>
      </c>
      <c r="N4" s="377" t="s">
        <v>195</v>
      </c>
      <c r="O4" s="380">
        <v>0</v>
      </c>
      <c r="P4" s="385">
        <v>1</v>
      </c>
      <c r="Q4" s="385">
        <v>0</v>
      </c>
      <c r="R4" s="381">
        <v>0</v>
      </c>
      <c r="S4" s="385">
        <v>0</v>
      </c>
      <c r="T4" s="381">
        <v>0</v>
      </c>
      <c r="U4" s="381">
        <v>0</v>
      </c>
      <c r="V4" s="381">
        <v>0</v>
      </c>
      <c r="W4" s="381">
        <v>0</v>
      </c>
      <c r="X4" s="381">
        <v>0</v>
      </c>
      <c r="Y4" s="381">
        <v>0</v>
      </c>
      <c r="Z4" s="381">
        <v>0</v>
      </c>
      <c r="AA4" s="379"/>
      <c r="AB4" s="377" t="s">
        <v>45</v>
      </c>
      <c r="AC4" s="377" t="s">
        <v>45</v>
      </c>
      <c r="AD4" s="379"/>
      <c r="AE4" s="379"/>
      <c r="AF4" s="379"/>
      <c r="AG4" s="379"/>
      <c r="AH4" s="380">
        <v>0</v>
      </c>
      <c r="AI4" s="380">
        <v>0</v>
      </c>
      <c r="AJ4" s="379"/>
      <c r="AK4" s="379"/>
      <c r="AL4" s="377" t="s">
        <v>181</v>
      </c>
      <c r="AM4" s="379"/>
      <c r="AN4" s="379"/>
      <c r="AO4" s="380">
        <v>0</v>
      </c>
      <c r="AP4" s="385">
        <v>0</v>
      </c>
      <c r="AQ4" s="385">
        <v>0</v>
      </c>
      <c r="AR4" s="384"/>
      <c r="AS4" s="387">
        <f t="shared" si="27"/>
        <v>0</v>
      </c>
      <c r="AT4">
        <f t="shared" si="28"/>
        <v>0</v>
      </c>
      <c r="AU4" s="387" t="str">
        <f>IF(AT4=0,"",IF(AND(AT4=1,M4="F",SUMIF(C2:C8,C4,AS2:AS8)&lt;=1),SUMIF(C2:C8,C4,AS2:AS8),IF(AND(AT4=1,M4="F",SUMIF(C2:C8,C4,AS2:AS8)&gt;1),1,"")))</f>
        <v/>
      </c>
      <c r="AV4" s="387" t="str">
        <f>IF(AT4=0,"",IF(AND(AT4=3,M4="F",SUMIF(C2:C8,C4,AS2:AS8)&lt;=1),SUMIF(C2:C8,C4,AS2:AS8),IF(AND(AT4=3,M4="F",SUMIF(C2:C8,C4,AS2:AS8)&gt;1),1,"")))</f>
        <v/>
      </c>
      <c r="AW4" s="387">
        <f>SUMIF(C2:C8,C4,O2:O8)</f>
        <v>0</v>
      </c>
      <c r="AX4" s="387">
        <f>IF(AND(M4="F",AS4&lt;&gt;0),SUMIF(C2:C8,C4,W2:W8),0)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>
        <f t="shared" si="41"/>
        <v>0</v>
      </c>
      <c r="CM4" s="387">
        <f t="shared" si="42"/>
        <v>0</v>
      </c>
      <c r="CN4" s="387" t="str">
        <f t="shared" si="43"/>
        <v>0001-00</v>
      </c>
    </row>
    <row r="5" spans="1:92" ht="15.75" thickBot="1">
      <c r="A5" s="377" t="s">
        <v>162</v>
      </c>
      <c r="B5" s="377" t="s">
        <v>163</v>
      </c>
      <c r="C5" s="377" t="s">
        <v>196</v>
      </c>
      <c r="D5" s="377" t="s">
        <v>192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193</v>
      </c>
      <c r="L5" s="377" t="s">
        <v>167</v>
      </c>
      <c r="M5" s="377" t="s">
        <v>194</v>
      </c>
      <c r="N5" s="377" t="s">
        <v>195</v>
      </c>
      <c r="O5" s="380">
        <v>0</v>
      </c>
      <c r="P5" s="385">
        <v>1</v>
      </c>
      <c r="Q5" s="385">
        <v>0</v>
      </c>
      <c r="R5" s="381">
        <v>0</v>
      </c>
      <c r="S5" s="385">
        <v>0</v>
      </c>
      <c r="T5" s="381">
        <v>0</v>
      </c>
      <c r="U5" s="381">
        <v>0</v>
      </c>
      <c r="V5" s="381">
        <v>0</v>
      </c>
      <c r="W5" s="381">
        <v>0</v>
      </c>
      <c r="X5" s="381">
        <v>0</v>
      </c>
      <c r="Y5" s="381">
        <v>0</v>
      </c>
      <c r="Z5" s="381">
        <v>0</v>
      </c>
      <c r="AA5" s="379"/>
      <c r="AB5" s="377" t="s">
        <v>45</v>
      </c>
      <c r="AC5" s="377" t="s">
        <v>45</v>
      </c>
      <c r="AD5" s="379"/>
      <c r="AE5" s="379"/>
      <c r="AF5" s="379"/>
      <c r="AG5" s="379"/>
      <c r="AH5" s="380">
        <v>0</v>
      </c>
      <c r="AI5" s="380">
        <v>0</v>
      </c>
      <c r="AJ5" s="379"/>
      <c r="AK5" s="379"/>
      <c r="AL5" s="377" t="s">
        <v>181</v>
      </c>
      <c r="AM5" s="379"/>
      <c r="AN5" s="379"/>
      <c r="AO5" s="380">
        <v>0</v>
      </c>
      <c r="AP5" s="385">
        <v>0</v>
      </c>
      <c r="AQ5" s="385">
        <v>0</v>
      </c>
      <c r="AR5" s="384"/>
      <c r="AS5" s="387">
        <f t="shared" si="27"/>
        <v>0</v>
      </c>
      <c r="AT5">
        <f t="shared" si="28"/>
        <v>0</v>
      </c>
      <c r="AU5" s="387" t="str">
        <f>IF(AT5=0,"",IF(AND(AT5=1,M5="F",SUMIF(C2:C8,C5,AS2:AS8)&lt;=1),SUMIF(C2:C8,C5,AS2:AS8),IF(AND(AT5=1,M5="F",SUMIF(C2:C8,C5,AS2:AS8)&gt;1),1,"")))</f>
        <v/>
      </c>
      <c r="AV5" s="387" t="str">
        <f>IF(AT5=0,"",IF(AND(AT5=3,M5="F",SUMIF(C2:C8,C5,AS2:AS8)&lt;=1),SUMIF(C2:C8,C5,AS2:AS8),IF(AND(AT5=3,M5="F",SUMIF(C2:C8,C5,AS2:AS8)&gt;1),1,"")))</f>
        <v/>
      </c>
      <c r="AW5" s="387">
        <f>SUMIF(C2:C8,C5,O2:O8)</f>
        <v>0</v>
      </c>
      <c r="AX5" s="387">
        <f>IF(AND(M5="F",AS5&lt;&gt;0),SUMIF(C2:C8,C5,W2:W8),0)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>
        <f t="shared" si="41"/>
        <v>0</v>
      </c>
      <c r="CM5" s="387">
        <f t="shared" si="42"/>
        <v>0</v>
      </c>
      <c r="CN5" s="387" t="str">
        <f t="shared" si="43"/>
        <v>0001-00</v>
      </c>
    </row>
    <row r="6" spans="1:92" ht="15.75" thickBot="1">
      <c r="A6" s="377" t="s">
        <v>162</v>
      </c>
      <c r="B6" s="377" t="s">
        <v>163</v>
      </c>
      <c r="C6" s="377" t="s">
        <v>166</v>
      </c>
      <c r="D6" s="377" t="s">
        <v>184</v>
      </c>
      <c r="E6" s="377" t="s">
        <v>197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185</v>
      </c>
      <c r="L6" s="377" t="s">
        <v>167</v>
      </c>
      <c r="M6" s="377" t="s">
        <v>172</v>
      </c>
      <c r="N6" s="377" t="s">
        <v>173</v>
      </c>
      <c r="O6" s="380">
        <v>1</v>
      </c>
      <c r="P6" s="385">
        <v>0</v>
      </c>
      <c r="Q6" s="385">
        <v>0</v>
      </c>
      <c r="R6" s="381">
        <v>80</v>
      </c>
      <c r="S6" s="385">
        <v>0</v>
      </c>
      <c r="T6" s="381">
        <v>0</v>
      </c>
      <c r="U6" s="381">
        <v>0</v>
      </c>
      <c r="V6" s="381">
        <v>30.62</v>
      </c>
      <c r="W6" s="381">
        <v>0</v>
      </c>
      <c r="X6" s="381">
        <v>0</v>
      </c>
      <c r="Y6" s="381">
        <v>0</v>
      </c>
      <c r="Z6" s="381">
        <v>0</v>
      </c>
      <c r="AA6" s="377" t="s">
        <v>186</v>
      </c>
      <c r="AB6" s="377" t="s">
        <v>187</v>
      </c>
      <c r="AC6" s="377" t="s">
        <v>188</v>
      </c>
      <c r="AD6" s="377" t="s">
        <v>189</v>
      </c>
      <c r="AE6" s="377" t="s">
        <v>185</v>
      </c>
      <c r="AF6" s="377" t="s">
        <v>190</v>
      </c>
      <c r="AG6" s="377" t="s">
        <v>171</v>
      </c>
      <c r="AH6" s="382">
        <v>40.79</v>
      </c>
      <c r="AI6" s="382">
        <v>49235.4</v>
      </c>
      <c r="AJ6" s="377" t="s">
        <v>179</v>
      </c>
      <c r="AK6" s="377" t="s">
        <v>180</v>
      </c>
      <c r="AL6" s="377" t="s">
        <v>181</v>
      </c>
      <c r="AM6" s="377" t="s">
        <v>181</v>
      </c>
      <c r="AN6" s="377" t="s">
        <v>66</v>
      </c>
      <c r="AO6" s="380">
        <v>80</v>
      </c>
      <c r="AP6" s="385">
        <v>1</v>
      </c>
      <c r="AQ6" s="385">
        <v>0</v>
      </c>
      <c r="AR6" s="383" t="s">
        <v>183</v>
      </c>
      <c r="AS6" s="387">
        <f t="shared" si="27"/>
        <v>0</v>
      </c>
      <c r="AT6">
        <f t="shared" si="28"/>
        <v>0</v>
      </c>
      <c r="AU6" s="387" t="str">
        <f>IF(AT6=0,"",IF(AND(AT6=1,M6="F",SUMIF(C2:C8,C6,AS2:AS8)&lt;=1),SUMIF(C2:C8,C6,AS2:AS8),IF(AND(AT6=1,M6="F",SUMIF(C2:C8,C6,AS2:AS8)&gt;1),1,"")))</f>
        <v/>
      </c>
      <c r="AV6" s="387" t="str">
        <f>IF(AT6=0,"",IF(AND(AT6=3,M6="F",SUMIF(C2:C8,C6,AS2:AS8)&lt;=1),SUMIF(C2:C8,C6,AS2:AS8),IF(AND(AT6=3,M6="F",SUMIF(C2:C8,C6,AS2:AS8)&gt;1),1,"")))</f>
        <v/>
      </c>
      <c r="AW6" s="387">
        <f>SUMIF(C2:C8,C6,O2:O8)</f>
        <v>2</v>
      </c>
      <c r="AX6" s="387">
        <f>IF(AND(M6="F",AS6&lt;&gt;0),SUMIF(C2:C8,C6,W2:W8),0)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0349-00</v>
      </c>
    </row>
    <row r="7" spans="1:92" ht="15.75" thickBot="1">
      <c r="A7" s="377" t="s">
        <v>162</v>
      </c>
      <c r="B7" s="377" t="s">
        <v>163</v>
      </c>
      <c r="C7" s="377" t="s">
        <v>198</v>
      </c>
      <c r="D7" s="377" t="s">
        <v>199</v>
      </c>
      <c r="E7" s="377" t="s">
        <v>197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200</v>
      </c>
      <c r="L7" s="377" t="s">
        <v>201</v>
      </c>
      <c r="M7" s="377" t="s">
        <v>172</v>
      </c>
      <c r="N7" s="377" t="s">
        <v>202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39499.199999999997</v>
      </c>
      <c r="U7" s="381">
        <v>0</v>
      </c>
      <c r="V7" s="381">
        <v>20242.759999999998</v>
      </c>
      <c r="W7" s="381">
        <v>43284.800000000003</v>
      </c>
      <c r="X7" s="381">
        <v>21687.16</v>
      </c>
      <c r="Y7" s="381">
        <v>43284.800000000003</v>
      </c>
      <c r="Z7" s="381">
        <v>22577.9</v>
      </c>
      <c r="AA7" s="377" t="s">
        <v>203</v>
      </c>
      <c r="AB7" s="377" t="s">
        <v>204</v>
      </c>
      <c r="AC7" s="377" t="s">
        <v>205</v>
      </c>
      <c r="AD7" s="377" t="s">
        <v>206</v>
      </c>
      <c r="AE7" s="377" t="s">
        <v>200</v>
      </c>
      <c r="AF7" s="377" t="s">
        <v>207</v>
      </c>
      <c r="AG7" s="377" t="s">
        <v>171</v>
      </c>
      <c r="AH7" s="382">
        <v>20.81</v>
      </c>
      <c r="AI7" s="380">
        <v>43804</v>
      </c>
      <c r="AJ7" s="377" t="s">
        <v>179</v>
      </c>
      <c r="AK7" s="377" t="s">
        <v>180</v>
      </c>
      <c r="AL7" s="377" t="s">
        <v>181</v>
      </c>
      <c r="AM7" s="377" t="s">
        <v>182</v>
      </c>
      <c r="AN7" s="377" t="s">
        <v>66</v>
      </c>
      <c r="AO7" s="380">
        <v>80</v>
      </c>
      <c r="AP7" s="385">
        <v>1</v>
      </c>
      <c r="AQ7" s="385">
        <v>1</v>
      </c>
      <c r="AR7" s="383" t="s">
        <v>183</v>
      </c>
      <c r="AS7" s="387">
        <f t="shared" si="27"/>
        <v>1</v>
      </c>
      <c r="AT7">
        <f t="shared" si="28"/>
        <v>1</v>
      </c>
      <c r="AU7" s="387">
        <f>IF(AT7=0,"",IF(AND(AT7=1,M7="F",SUMIF(C2:C8,C7,AS2:AS8)&lt;=1),SUMIF(C2:C8,C7,AS2:AS8),IF(AND(AT7=1,M7="F",SUMIF(C2:C8,C7,AS2:AS8)&gt;1),1,"")))</f>
        <v>1</v>
      </c>
      <c r="AV7" s="387" t="str">
        <f>IF(AT7=0,"",IF(AND(AT7=3,M7="F",SUMIF(C2:C8,C7,AS2:AS8)&lt;=1),SUMIF(C2:C8,C7,AS2:AS8),IF(AND(AT7=3,M7="F",SUMIF(C2:C8,C7,AS2:AS8)&gt;1),1,"")))</f>
        <v/>
      </c>
      <c r="AW7" s="387">
        <f>SUMIF(C2:C8,C7,O2:O8)</f>
        <v>1</v>
      </c>
      <c r="AX7" s="387">
        <f>IF(AND(M7="F",AS7&lt;&gt;0),SUMIF(C2:C8,C7,W2:W8),0)</f>
        <v>43284.800000000003</v>
      </c>
      <c r="AY7" s="387">
        <f t="shared" si="29"/>
        <v>43284.800000000003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2683.6576</v>
      </c>
      <c r="BE7" s="387">
        <f t="shared" si="3"/>
        <v>627.6296000000001</v>
      </c>
      <c r="BF7" s="387">
        <f t="shared" si="4"/>
        <v>5168.2051200000005</v>
      </c>
      <c r="BG7" s="387">
        <f t="shared" si="5"/>
        <v>312.08340800000002</v>
      </c>
      <c r="BH7" s="387">
        <f t="shared" si="6"/>
        <v>0</v>
      </c>
      <c r="BI7" s="387">
        <f t="shared" si="7"/>
        <v>239.58136800000003</v>
      </c>
      <c r="BJ7" s="387">
        <f t="shared" si="8"/>
        <v>155.82527999999999</v>
      </c>
      <c r="BK7" s="387">
        <f t="shared" si="9"/>
        <v>0</v>
      </c>
      <c r="BL7" s="387">
        <f t="shared" si="32"/>
        <v>9186.9823759999999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2683.6576</v>
      </c>
      <c r="BQ7" s="387">
        <f t="shared" si="13"/>
        <v>627.6296000000001</v>
      </c>
      <c r="BR7" s="387">
        <f t="shared" si="14"/>
        <v>4839.24064</v>
      </c>
      <c r="BS7" s="387">
        <f t="shared" si="15"/>
        <v>312.08340800000002</v>
      </c>
      <c r="BT7" s="387">
        <f t="shared" si="16"/>
        <v>0</v>
      </c>
      <c r="BU7" s="387">
        <f t="shared" si="17"/>
        <v>239.58136800000003</v>
      </c>
      <c r="BV7" s="387">
        <f t="shared" si="18"/>
        <v>125.52592</v>
      </c>
      <c r="BW7" s="387">
        <f t="shared" si="19"/>
        <v>0</v>
      </c>
      <c r="BX7" s="387">
        <f t="shared" si="34"/>
        <v>8827.7185360000003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-328.96448000000044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-30.299360000000007</v>
      </c>
      <c r="CI7" s="387">
        <f t="shared" si="26"/>
        <v>0</v>
      </c>
      <c r="CJ7" s="387">
        <f t="shared" si="39"/>
        <v>-359.26384000000041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0349-00</v>
      </c>
    </row>
    <row r="8" spans="1:92" ht="15.75" thickBot="1">
      <c r="A8" s="377" t="s">
        <v>162</v>
      </c>
      <c r="B8" s="377" t="s">
        <v>163</v>
      </c>
      <c r="C8" s="377" t="s">
        <v>164</v>
      </c>
      <c r="D8" s="377" t="s">
        <v>165</v>
      </c>
      <c r="E8" s="377" t="s">
        <v>197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170</v>
      </c>
      <c r="L8" s="377" t="s">
        <v>171</v>
      </c>
      <c r="M8" s="377" t="s">
        <v>172</v>
      </c>
      <c r="N8" s="377" t="s">
        <v>173</v>
      </c>
      <c r="O8" s="380">
        <v>1</v>
      </c>
      <c r="P8" s="385">
        <v>0</v>
      </c>
      <c r="Q8" s="385">
        <v>0</v>
      </c>
      <c r="R8" s="381">
        <v>80</v>
      </c>
      <c r="S8" s="385">
        <v>0</v>
      </c>
      <c r="T8" s="381">
        <v>0</v>
      </c>
      <c r="U8" s="381">
        <v>0</v>
      </c>
      <c r="V8" s="381">
        <v>44.69</v>
      </c>
      <c r="W8" s="381">
        <v>0</v>
      </c>
      <c r="X8" s="381">
        <v>0</v>
      </c>
      <c r="Y8" s="381">
        <v>0</v>
      </c>
      <c r="Z8" s="381">
        <v>0</v>
      </c>
      <c r="AA8" s="377" t="s">
        <v>174</v>
      </c>
      <c r="AB8" s="377" t="s">
        <v>175</v>
      </c>
      <c r="AC8" s="377" t="s">
        <v>176</v>
      </c>
      <c r="AD8" s="377" t="s">
        <v>177</v>
      </c>
      <c r="AE8" s="377" t="s">
        <v>170</v>
      </c>
      <c r="AF8" s="377" t="s">
        <v>178</v>
      </c>
      <c r="AG8" s="377" t="s">
        <v>171</v>
      </c>
      <c r="AH8" s="382">
        <v>20.260000000000002</v>
      </c>
      <c r="AI8" s="382">
        <v>37931.4</v>
      </c>
      <c r="AJ8" s="377" t="s">
        <v>179</v>
      </c>
      <c r="AK8" s="377" t="s">
        <v>180</v>
      </c>
      <c r="AL8" s="377" t="s">
        <v>181</v>
      </c>
      <c r="AM8" s="377" t="s">
        <v>182</v>
      </c>
      <c r="AN8" s="377" t="s">
        <v>66</v>
      </c>
      <c r="AO8" s="380">
        <v>80</v>
      </c>
      <c r="AP8" s="385">
        <v>1</v>
      </c>
      <c r="AQ8" s="385">
        <v>0</v>
      </c>
      <c r="AR8" s="383" t="s">
        <v>183</v>
      </c>
      <c r="AS8" s="387">
        <f t="shared" si="27"/>
        <v>0</v>
      </c>
      <c r="AT8">
        <f t="shared" si="28"/>
        <v>0</v>
      </c>
      <c r="AU8" s="387" t="str">
        <f>IF(AT8=0,"",IF(AND(AT8=1,M8="F",SUMIF(C2:C8,C8,AS2:AS8)&lt;=1),SUMIF(C2:C8,C8,AS2:AS8),IF(AND(AT8=1,M8="F",SUMIF(C2:C8,C8,AS2:AS8)&gt;1),1,"")))</f>
        <v/>
      </c>
      <c r="AV8" s="387" t="str">
        <f>IF(AT8=0,"",IF(AND(AT8=3,M8="F",SUMIF(C2:C8,C8,AS2:AS8)&lt;=1),SUMIF(C2:C8,C8,AS2:AS8),IF(AND(AT8=3,M8="F",SUMIF(C2:C8,C8,AS2:AS8)&gt;1),1,"")))</f>
        <v/>
      </c>
      <c r="AW8" s="387">
        <f>SUMIF(C2:C8,C8,O2:O8)</f>
        <v>2</v>
      </c>
      <c r="AX8" s="387">
        <f>IF(AND(M8="F",AS8&lt;&gt;0),SUMIF(C2:C8,C8,W2:W8),0)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0349-00</v>
      </c>
    </row>
    <row r="10" spans="1:92" ht="21">
      <c r="AQ10" s="251" t="s">
        <v>270</v>
      </c>
    </row>
    <row r="11" spans="1:92" ht="15.75" thickBot="1">
      <c r="AR11" t="s">
        <v>256</v>
      </c>
      <c r="AS11" s="387">
        <f>SUMIFS(AS2:AS8,G2:G8,"SGBP",E2:E8,"0001",F2:F8,"00",AT2:AT8,1)</f>
        <v>2</v>
      </c>
      <c r="AT11" s="387">
        <f>SUMIFS(AS2:AS8,G2:G8,"SGBP",E2:E8,"0001",F2:F8,"00",AT2:AT8,3)</f>
        <v>0</v>
      </c>
      <c r="AU11" s="387">
        <f>SUMIFS(AU2:AU8,G2:G8,"SGBP",E2:E8,"0001",F2:F8,"00")</f>
        <v>2</v>
      </c>
      <c r="AV11" s="387">
        <f>SUMIFS(AV2:AV8,G2:G8,"SGBP",E2:E8,"0001",F2:F8,"00")</f>
        <v>0</v>
      </c>
      <c r="AW11" s="387">
        <f>SUMIFS(AW2:AW8,G2:G8,"SGBP",E2:E8,"0001",F2:F8,"00")</f>
        <v>4</v>
      </c>
      <c r="AX11" s="387">
        <f>SUMIFS(AX2:AX8,G2:G8,"SGBP",E2:E8,"0001",F2:F8,"00")</f>
        <v>126984</v>
      </c>
      <c r="AY11" s="387">
        <f>SUMIFS(AY2:AY8,G2:G8,"SGBP",E2:E8,"0001",F2:F8,"00")</f>
        <v>126984</v>
      </c>
      <c r="AZ11" s="387">
        <f>SUMIFS(AZ2:AZ8,G2:G8,"SGBP",E2:E8,"0001",F2:F8,"00")</f>
        <v>0</v>
      </c>
      <c r="BA11" s="387">
        <f>SUMIFS(BA2:BA8,G2:G8,"SGBP",E2:E8,"0001",F2:F8,"00")</f>
        <v>0</v>
      </c>
      <c r="BB11" s="387">
        <f>SUMIFS(BB2:BB8,G2:G8,"SGBP",E2:E8,"0001",F2:F8,"00")</f>
        <v>25000</v>
      </c>
      <c r="BC11" s="387">
        <f>SUMIFS(BC2:BC8,G2:G8,"SGBP",E2:E8,"0001",F2:F8,"00")</f>
        <v>0</v>
      </c>
      <c r="BD11" s="387">
        <f>SUMIFS(BD2:BD8,G2:G8,"SGBP",E2:E8,"0001",F2:F8,"00")</f>
        <v>7873.0079999999998</v>
      </c>
      <c r="BE11" s="387">
        <f>SUMIFS(BE2:BE8,G2:G8,"SGBP",E2:E8,"0001",F2:F8,"00")</f>
        <v>1841.268</v>
      </c>
      <c r="BF11" s="387">
        <f>SUMIFS(BF2:BF8,G2:G8,"SGBP",E2:E8,"0001",F2:F8,"00")</f>
        <v>15161.8896</v>
      </c>
      <c r="BG11" s="387">
        <f>SUMIFS(BG2:BG8,G2:G8,"SGBP",E2:E8,"0001",F2:F8,"00")</f>
        <v>915.55464000000006</v>
      </c>
      <c r="BH11" s="387">
        <f>SUMIFS(BH2:BH8,G2:G8,"SGBP",E2:E8,"0001",F2:F8,"00")</f>
        <v>0</v>
      </c>
      <c r="BI11" s="387">
        <f>SUMIFS(BI2:BI8,G2:G8,"SGBP",E2:E8,"0001",F2:F8,"00")</f>
        <v>0</v>
      </c>
      <c r="BJ11" s="387">
        <f>SUMIFS(BJ2:BJ8,G2:G8,"SGBP",E2:E8,"0001",F2:F8,"00")</f>
        <v>457.14240000000001</v>
      </c>
      <c r="BK11" s="387">
        <f>SUMIFS(BK2:BK8,G2:G8,"SGBP",E2:E8,"0001",F2:F8,"00")</f>
        <v>0</v>
      </c>
      <c r="BL11" s="387">
        <f>SUMIFS(BL2:BL8,G2:G8,"SGBP",E2:E8,"0001",F2:F8,"00")</f>
        <v>26248.862639999999</v>
      </c>
      <c r="BM11" s="387">
        <f>SUMIFS(BM2:BM8,G2:G8,"SGBP",E2:E8,"0001",F2:F8,"00")</f>
        <v>0</v>
      </c>
      <c r="BN11" s="387">
        <f>SUMIFS(BN2:BN8,G2:G8,"SGBP",E2:E8,"0001",F2:F8,"00")</f>
        <v>27500</v>
      </c>
      <c r="BO11" s="387">
        <f>SUMIFS(BO2:BO8,G2:G8,"SGBP",E2:E8,"0001",F2:F8,"00")</f>
        <v>0</v>
      </c>
      <c r="BP11" s="387">
        <f>SUMIFS(BP2:BP8,G2:G8,"SGBP",E2:E8,"0001",F2:F8,"00")</f>
        <v>7873.0079999999998</v>
      </c>
      <c r="BQ11" s="387">
        <f>SUMIFS(BQ2:BQ8,G2:G8,"SGBP",E2:E8,"0001",F2:F8,"00")</f>
        <v>1841.268</v>
      </c>
      <c r="BR11" s="387">
        <f>SUMIFS(BR2:BR8,G2:G8,"SGBP",E2:E8,"0001",F2:F8,"00")</f>
        <v>14196.8112</v>
      </c>
      <c r="BS11" s="387">
        <f>SUMIFS(BS2:BS8,G2:G8,"SGBP",E2:E8,"0001",F2:F8,"00")</f>
        <v>915.55464000000006</v>
      </c>
      <c r="BT11" s="387">
        <f>SUMIFS(BT2:BT8,G2:G8,"SGBP",E2:E8,"0001",F2:F8,"00")</f>
        <v>0</v>
      </c>
      <c r="BU11" s="387">
        <f>SUMIFS(BU2:BU8,G2:G8,"SGBP",E2:E8,"0001",F2:F8,"00")</f>
        <v>0</v>
      </c>
      <c r="BV11" s="387">
        <f>SUMIFS(BV2:BV8,G2:G8,"SGBP",E2:E8,"0001",F2:F8,"00")</f>
        <v>368.25359999999995</v>
      </c>
      <c r="BW11" s="387">
        <f>SUMIFS(BW2:BW8,G2:G8,"SGBP",E2:E8,"0001",F2:F8,"00")</f>
        <v>0</v>
      </c>
      <c r="BX11" s="387">
        <f>SUMIFS(BX2:BX8,G2:G8,"SGBP",E2:E8,"0001",F2:F8,"00")</f>
        <v>25194.89544</v>
      </c>
      <c r="BY11" s="387">
        <f>SUMIFS(BY2:BY8,G2:G8,"SGBP",E2:E8,"0001",F2:F8,"00")</f>
        <v>0</v>
      </c>
      <c r="BZ11" s="387">
        <f>SUMIFS(BZ2:BZ8,G2:G8,"SGBP",E2:E8,"0001",F2:F8,"00")</f>
        <v>2500</v>
      </c>
      <c r="CA11" s="387">
        <f>SUMIFS(CA2:CA8,G2:G8,"SGBP",E2:E8,"0001",F2:F8,"00")</f>
        <v>0</v>
      </c>
      <c r="CB11" s="387">
        <f>SUMIFS(CB2:CB8,G2:G8,"SGBP",E2:E8,"0001",F2:F8,"00")</f>
        <v>0</v>
      </c>
      <c r="CC11" s="387">
        <f>SUMIFS(CC2:CC8,G2:G8,"SGBP",E2:E8,"0001",F2:F8,"00")</f>
        <v>0</v>
      </c>
      <c r="CD11" s="387">
        <f>SUMIFS(CD2:CD8,G2:G8,"SGBP",E2:E8,"0001",F2:F8,"00")</f>
        <v>-965.07840000000124</v>
      </c>
      <c r="CE11" s="387">
        <f>SUMIFS(CE2:CE8,G2:G8,"SGBP",E2:E8,"0001",F2:F8,"00")</f>
        <v>0</v>
      </c>
      <c r="CF11" s="387">
        <f>SUMIFS(CF2:CF8,G2:G8,"SGBP",E2:E8,"0001",F2:F8,"00")</f>
        <v>0</v>
      </c>
      <c r="CG11" s="387">
        <f>SUMIFS(CG2:CG8,G2:G8,"SGBP",E2:E8,"0001",F2:F8,"00")</f>
        <v>0</v>
      </c>
      <c r="CH11" s="387">
        <f>SUMIFS(CH2:CH8,G2:G8,"SGBP",E2:E8,"0001",F2:F8,"00")</f>
        <v>-88.888800000000003</v>
      </c>
      <c r="CI11" s="387">
        <f>SUMIFS(CI2:CI8,G2:G8,"SGBP",E2:E8,"0001",F2:F8,"00")</f>
        <v>0</v>
      </c>
      <c r="CJ11" s="387">
        <f>SUMIFS(CJ2:CJ8,G2:G8,"SGBP",E2:E8,"0001",F2:F8,"00")</f>
        <v>-1053.9672000000012</v>
      </c>
      <c r="CK11" s="387">
        <f>SUMIFS(CK2:CK8,G2:G8,"SGBP",E2:E8,"0001",F2:F8,"00")</f>
        <v>0</v>
      </c>
      <c r="CL11" s="387">
        <f>SUMIFS(CL2:CL8,G2:G8,"SGBP",E2:E8,"0001",F2:F8,"00")</f>
        <v>0</v>
      </c>
      <c r="CM11" s="387">
        <f>SUMIFS(CM2:CM8,G2:G8,"SGBP",E2:E8,"0001",F2:F8,"00")</f>
        <v>0</v>
      </c>
    </row>
    <row r="12" spans="1:92" ht="18.75">
      <c r="AQ12" s="393" t="s">
        <v>257</v>
      </c>
      <c r="AS12" s="394">
        <f t="shared" ref="AS12:CM12" si="44">SUM(AS11:AS11)</f>
        <v>2</v>
      </c>
      <c r="AT12" s="394">
        <f t="shared" si="44"/>
        <v>0</v>
      </c>
      <c r="AU12" s="394">
        <f t="shared" si="44"/>
        <v>2</v>
      </c>
      <c r="AV12" s="394">
        <f t="shared" si="44"/>
        <v>0</v>
      </c>
      <c r="AW12" s="394">
        <f t="shared" si="44"/>
        <v>4</v>
      </c>
      <c r="AX12" s="394">
        <f t="shared" si="44"/>
        <v>126984</v>
      </c>
      <c r="AY12" s="394">
        <f t="shared" si="44"/>
        <v>126984</v>
      </c>
      <c r="AZ12" s="394">
        <f t="shared" si="44"/>
        <v>0</v>
      </c>
      <c r="BA12" s="394">
        <f t="shared" si="44"/>
        <v>0</v>
      </c>
      <c r="BB12" s="394">
        <f t="shared" si="44"/>
        <v>25000</v>
      </c>
      <c r="BC12" s="394">
        <f t="shared" si="44"/>
        <v>0</v>
      </c>
      <c r="BD12" s="394">
        <f t="shared" si="44"/>
        <v>7873.0079999999998</v>
      </c>
      <c r="BE12" s="394">
        <f t="shared" si="44"/>
        <v>1841.268</v>
      </c>
      <c r="BF12" s="394">
        <f t="shared" si="44"/>
        <v>15161.8896</v>
      </c>
      <c r="BG12" s="394">
        <f t="shared" si="44"/>
        <v>915.55464000000006</v>
      </c>
      <c r="BH12" s="394">
        <f t="shared" si="44"/>
        <v>0</v>
      </c>
      <c r="BI12" s="394">
        <f t="shared" si="44"/>
        <v>0</v>
      </c>
      <c r="BJ12" s="394">
        <f t="shared" si="44"/>
        <v>457.14240000000001</v>
      </c>
      <c r="BK12" s="394">
        <f t="shared" si="44"/>
        <v>0</v>
      </c>
      <c r="BL12" s="394">
        <f t="shared" si="44"/>
        <v>26248.862639999999</v>
      </c>
      <c r="BM12" s="394">
        <f t="shared" si="44"/>
        <v>0</v>
      </c>
      <c r="BN12" s="394">
        <f t="shared" si="44"/>
        <v>27500</v>
      </c>
      <c r="BO12" s="394">
        <f t="shared" si="44"/>
        <v>0</v>
      </c>
      <c r="BP12" s="394">
        <f t="shared" si="44"/>
        <v>7873.0079999999998</v>
      </c>
      <c r="BQ12" s="394">
        <f t="shared" si="44"/>
        <v>1841.268</v>
      </c>
      <c r="BR12" s="394">
        <f t="shared" si="44"/>
        <v>14196.8112</v>
      </c>
      <c r="BS12" s="394">
        <f t="shared" si="44"/>
        <v>915.55464000000006</v>
      </c>
      <c r="BT12" s="394">
        <f t="shared" si="44"/>
        <v>0</v>
      </c>
      <c r="BU12" s="394">
        <f t="shared" si="44"/>
        <v>0</v>
      </c>
      <c r="BV12" s="394">
        <f t="shared" si="44"/>
        <v>368.25359999999995</v>
      </c>
      <c r="BW12" s="394">
        <f t="shared" si="44"/>
        <v>0</v>
      </c>
      <c r="BX12" s="394">
        <f t="shared" si="44"/>
        <v>25194.89544</v>
      </c>
      <c r="BY12" s="394">
        <f t="shared" si="44"/>
        <v>0</v>
      </c>
      <c r="BZ12" s="394">
        <f t="shared" si="44"/>
        <v>2500</v>
      </c>
      <c r="CA12" s="394">
        <f t="shared" si="44"/>
        <v>0</v>
      </c>
      <c r="CB12" s="394">
        <f t="shared" si="44"/>
        <v>0</v>
      </c>
      <c r="CC12" s="394">
        <f t="shared" si="44"/>
        <v>0</v>
      </c>
      <c r="CD12" s="394">
        <f t="shared" si="44"/>
        <v>-965.07840000000124</v>
      </c>
      <c r="CE12" s="394">
        <f t="shared" si="44"/>
        <v>0</v>
      </c>
      <c r="CF12" s="394">
        <f t="shared" si="44"/>
        <v>0</v>
      </c>
      <c r="CG12" s="394">
        <f t="shared" si="44"/>
        <v>0</v>
      </c>
      <c r="CH12" s="394">
        <f t="shared" si="44"/>
        <v>-88.888800000000003</v>
      </c>
      <c r="CI12" s="394">
        <f t="shared" si="44"/>
        <v>0</v>
      </c>
      <c r="CJ12" s="394">
        <f t="shared" si="44"/>
        <v>-1053.9672000000012</v>
      </c>
      <c r="CK12" s="394">
        <f t="shared" si="44"/>
        <v>0</v>
      </c>
      <c r="CL12" s="394">
        <f t="shared" si="44"/>
        <v>0</v>
      </c>
      <c r="CM12" s="394">
        <f t="shared" si="44"/>
        <v>0</v>
      </c>
    </row>
    <row r="13" spans="1:92" ht="15.75" thickBot="1">
      <c r="AR13" t="s">
        <v>264</v>
      </c>
      <c r="AS13" s="387">
        <f>SUMIFS(AS2:AS8,G2:G8,"SGBP",E2:E8,"0349",F2:F8,"00",AT2:AT8,1)</f>
        <v>1</v>
      </c>
      <c r="AT13" s="387">
        <f>SUMIFS(AS2:AS8,G2:G8,"SGBP",E2:E8,"0349",F2:F8,"00",AT2:AT8,3)</f>
        <v>0</v>
      </c>
      <c r="AU13" s="387">
        <f>SUMIFS(AU2:AU8,G2:G8,"SGBP",E2:E8,"0349",F2:F8,"00")</f>
        <v>1</v>
      </c>
      <c r="AV13" s="387">
        <f>SUMIFS(AV2:AV8,G2:G8,"SGBP",E2:E8,"0349",F2:F8,"00")</f>
        <v>0</v>
      </c>
      <c r="AW13" s="387">
        <f>SUMIFS(AW2:AW8,G2:G8,"SGBP",E2:E8,"0349",F2:F8,"00")</f>
        <v>5</v>
      </c>
      <c r="AX13" s="387">
        <f>SUMIFS(AX2:AX8,G2:G8,"SGBP",E2:E8,"0349",F2:F8,"00")</f>
        <v>43284.800000000003</v>
      </c>
      <c r="AY13" s="387">
        <f>SUMIFS(AY2:AY8,G2:G8,"SGBP",E2:E8,"0349",F2:F8,"00")</f>
        <v>43284.800000000003</v>
      </c>
      <c r="AZ13" s="387">
        <f>SUMIFS(AZ2:AZ8,G2:G8,"SGBP",E2:E8,"0349",F2:F8,"00")</f>
        <v>0</v>
      </c>
      <c r="BA13" s="387">
        <f>SUMIFS(BA2:BA8,G2:G8,"SGBP",E2:E8,"0349",F2:F8,"00")</f>
        <v>0</v>
      </c>
      <c r="BB13" s="387">
        <f>SUMIFS(BB2:BB8,G2:G8,"SGBP",E2:E8,"0349",F2:F8,"00")</f>
        <v>12500</v>
      </c>
      <c r="BC13" s="387">
        <f>SUMIFS(BC2:BC8,G2:G8,"SGBP",E2:E8,"0349",F2:F8,"00")</f>
        <v>0</v>
      </c>
      <c r="BD13" s="387">
        <f>SUMIFS(BD2:BD8,G2:G8,"SGBP",E2:E8,"0349",F2:F8,"00")</f>
        <v>2683.6576</v>
      </c>
      <c r="BE13" s="387">
        <f>SUMIFS(BE2:BE8,G2:G8,"SGBP",E2:E8,"0349",F2:F8,"00")</f>
        <v>627.6296000000001</v>
      </c>
      <c r="BF13" s="387">
        <f>SUMIFS(BF2:BF8,G2:G8,"SGBP",E2:E8,"0349",F2:F8,"00")</f>
        <v>5168.2051200000005</v>
      </c>
      <c r="BG13" s="387">
        <f>SUMIFS(BG2:BG8,G2:G8,"SGBP",E2:E8,"0349",F2:F8,"00")</f>
        <v>312.08340800000002</v>
      </c>
      <c r="BH13" s="387">
        <f>SUMIFS(BH2:BH8,G2:G8,"SGBP",E2:E8,"0349",F2:F8,"00")</f>
        <v>0</v>
      </c>
      <c r="BI13" s="387">
        <f>SUMIFS(BI2:BI8,G2:G8,"SGBP",E2:E8,"0349",F2:F8,"00")</f>
        <v>239.58136800000003</v>
      </c>
      <c r="BJ13" s="387">
        <f>SUMIFS(BJ2:BJ8,G2:G8,"SGBP",E2:E8,"0349",F2:F8,"00")</f>
        <v>155.82527999999999</v>
      </c>
      <c r="BK13" s="387">
        <f>SUMIFS(BK2:BK8,G2:G8,"SGBP",E2:E8,"0349",F2:F8,"00")</f>
        <v>0</v>
      </c>
      <c r="BL13" s="387">
        <f>SUMIFS(BL2:BL8,G2:G8,"SGBP",E2:E8,"0349",F2:F8,"00")</f>
        <v>9186.9823759999999</v>
      </c>
      <c r="BM13" s="387">
        <f>SUMIFS(BM2:BM8,G2:G8,"SGBP",E2:E8,"0349",F2:F8,"00")</f>
        <v>0</v>
      </c>
      <c r="BN13" s="387">
        <f>SUMIFS(BN2:BN8,G2:G8,"SGBP",E2:E8,"0349",F2:F8,"00")</f>
        <v>13750</v>
      </c>
      <c r="BO13" s="387">
        <f>SUMIFS(BO2:BO8,G2:G8,"SGBP",E2:E8,"0349",F2:F8,"00")</f>
        <v>0</v>
      </c>
      <c r="BP13" s="387">
        <f>SUMIFS(BP2:BP8,G2:G8,"SGBP",E2:E8,"0349",F2:F8,"00")</f>
        <v>2683.6576</v>
      </c>
      <c r="BQ13" s="387">
        <f>SUMIFS(BQ2:BQ8,G2:G8,"SGBP",E2:E8,"0349",F2:F8,"00")</f>
        <v>627.6296000000001</v>
      </c>
      <c r="BR13" s="387">
        <f>SUMIFS(BR2:BR8,G2:G8,"SGBP",E2:E8,"0349",F2:F8,"00")</f>
        <v>4839.24064</v>
      </c>
      <c r="BS13" s="387">
        <f>SUMIFS(BS2:BS8,G2:G8,"SGBP",E2:E8,"0349",F2:F8,"00")</f>
        <v>312.08340800000002</v>
      </c>
      <c r="BT13" s="387">
        <f>SUMIFS(BT2:BT8,G2:G8,"SGBP",E2:E8,"0349",F2:F8,"00")</f>
        <v>0</v>
      </c>
      <c r="BU13" s="387">
        <f>SUMIFS(BU2:BU8,G2:G8,"SGBP",E2:E8,"0349",F2:F8,"00")</f>
        <v>239.58136800000003</v>
      </c>
      <c r="BV13" s="387">
        <f>SUMIFS(BV2:BV8,G2:G8,"SGBP",E2:E8,"0349",F2:F8,"00")</f>
        <v>125.52592</v>
      </c>
      <c r="BW13" s="387">
        <f>SUMIFS(BW2:BW8,G2:G8,"SGBP",E2:E8,"0349",F2:F8,"00")</f>
        <v>0</v>
      </c>
      <c r="BX13" s="387">
        <f>SUMIFS(BX2:BX8,G2:G8,"SGBP",E2:E8,"0349",F2:F8,"00")</f>
        <v>8827.7185360000003</v>
      </c>
      <c r="BY13" s="387">
        <f>SUMIFS(BY2:BY8,G2:G8,"SGBP",E2:E8,"0349",F2:F8,"00")</f>
        <v>0</v>
      </c>
      <c r="BZ13" s="387">
        <f>SUMIFS(BZ2:BZ8,G2:G8,"SGBP",E2:E8,"0349",F2:F8,"00")</f>
        <v>1250</v>
      </c>
      <c r="CA13" s="387">
        <f>SUMIFS(CA2:CA8,G2:G8,"SGBP",E2:E8,"0349",F2:F8,"00")</f>
        <v>0</v>
      </c>
      <c r="CB13" s="387">
        <f>SUMIFS(CB2:CB8,G2:G8,"SGBP",E2:E8,"0349",F2:F8,"00")</f>
        <v>0</v>
      </c>
      <c r="CC13" s="387">
        <f>SUMIFS(CC2:CC8,G2:G8,"SGBP",E2:E8,"0349",F2:F8,"00")</f>
        <v>0</v>
      </c>
      <c r="CD13" s="387">
        <f>SUMIFS(CD2:CD8,G2:G8,"SGBP",E2:E8,"0349",F2:F8,"00")</f>
        <v>-328.96448000000044</v>
      </c>
      <c r="CE13" s="387">
        <f>SUMIFS(CE2:CE8,G2:G8,"SGBP",E2:E8,"0349",F2:F8,"00")</f>
        <v>0</v>
      </c>
      <c r="CF13" s="387">
        <f>SUMIFS(CF2:CF8,G2:G8,"SGBP",E2:E8,"0349",F2:F8,"00")</f>
        <v>0</v>
      </c>
      <c r="CG13" s="387">
        <f>SUMIFS(CG2:CG8,G2:G8,"SGBP",E2:E8,"0349",F2:F8,"00")</f>
        <v>0</v>
      </c>
      <c r="CH13" s="387">
        <f>SUMIFS(CH2:CH8,G2:G8,"SGBP",E2:E8,"0349",F2:F8,"00")</f>
        <v>-30.299360000000007</v>
      </c>
      <c r="CI13" s="387">
        <f>SUMIFS(CI2:CI8,G2:G8,"SGBP",E2:E8,"0349",F2:F8,"00")</f>
        <v>0</v>
      </c>
      <c r="CJ13" s="387">
        <f>SUMIFS(CJ2:CJ8,G2:G8,"SGBP",E2:E8,"0349",F2:F8,"00")</f>
        <v>-359.26384000000041</v>
      </c>
      <c r="CK13" s="387">
        <f>SUMIFS(CK2:CK8,G2:G8,"SGBP",E2:E8,"0349",F2:F8,"00")</f>
        <v>0</v>
      </c>
      <c r="CL13" s="387">
        <f>SUMIFS(CL2:CL8,G2:G8,"SGBP",E2:E8,"0349",F2:F8,"00")</f>
        <v>0</v>
      </c>
      <c r="CM13" s="387">
        <f>SUMIFS(CM2:CM8,G2:G8,"SGBP",E2:E8,"0349",F2:F8,"00")</f>
        <v>0</v>
      </c>
    </row>
    <row r="14" spans="1:92" ht="18.75">
      <c r="AQ14" s="393" t="s">
        <v>265</v>
      </c>
      <c r="AS14" s="394">
        <f t="shared" ref="AS14:CM14" si="45">SUM(AS13:AS13)</f>
        <v>1</v>
      </c>
      <c r="AT14" s="394">
        <f t="shared" si="45"/>
        <v>0</v>
      </c>
      <c r="AU14" s="394">
        <f t="shared" si="45"/>
        <v>1</v>
      </c>
      <c r="AV14" s="394">
        <f t="shared" si="45"/>
        <v>0</v>
      </c>
      <c r="AW14" s="394">
        <f t="shared" si="45"/>
        <v>5</v>
      </c>
      <c r="AX14" s="394">
        <f t="shared" si="45"/>
        <v>43284.800000000003</v>
      </c>
      <c r="AY14" s="394">
        <f t="shared" si="45"/>
        <v>43284.800000000003</v>
      </c>
      <c r="AZ14" s="394">
        <f t="shared" si="45"/>
        <v>0</v>
      </c>
      <c r="BA14" s="394">
        <f t="shared" si="45"/>
        <v>0</v>
      </c>
      <c r="BB14" s="394">
        <f t="shared" si="45"/>
        <v>12500</v>
      </c>
      <c r="BC14" s="394">
        <f t="shared" si="45"/>
        <v>0</v>
      </c>
      <c r="BD14" s="394">
        <f t="shared" si="45"/>
        <v>2683.6576</v>
      </c>
      <c r="BE14" s="394">
        <f t="shared" si="45"/>
        <v>627.6296000000001</v>
      </c>
      <c r="BF14" s="394">
        <f t="shared" si="45"/>
        <v>5168.2051200000005</v>
      </c>
      <c r="BG14" s="394">
        <f t="shared" si="45"/>
        <v>312.08340800000002</v>
      </c>
      <c r="BH14" s="394">
        <f t="shared" si="45"/>
        <v>0</v>
      </c>
      <c r="BI14" s="394">
        <f t="shared" si="45"/>
        <v>239.58136800000003</v>
      </c>
      <c r="BJ14" s="394">
        <f t="shared" si="45"/>
        <v>155.82527999999999</v>
      </c>
      <c r="BK14" s="394">
        <f t="shared" si="45"/>
        <v>0</v>
      </c>
      <c r="BL14" s="394">
        <f t="shared" si="45"/>
        <v>9186.9823759999999</v>
      </c>
      <c r="BM14" s="394">
        <f t="shared" si="45"/>
        <v>0</v>
      </c>
      <c r="BN14" s="394">
        <f t="shared" si="45"/>
        <v>13750</v>
      </c>
      <c r="BO14" s="394">
        <f t="shared" si="45"/>
        <v>0</v>
      </c>
      <c r="BP14" s="394">
        <f t="shared" si="45"/>
        <v>2683.6576</v>
      </c>
      <c r="BQ14" s="394">
        <f t="shared" si="45"/>
        <v>627.6296000000001</v>
      </c>
      <c r="BR14" s="394">
        <f t="shared" si="45"/>
        <v>4839.24064</v>
      </c>
      <c r="BS14" s="394">
        <f t="shared" si="45"/>
        <v>312.08340800000002</v>
      </c>
      <c r="BT14" s="394">
        <f t="shared" si="45"/>
        <v>0</v>
      </c>
      <c r="BU14" s="394">
        <f t="shared" si="45"/>
        <v>239.58136800000003</v>
      </c>
      <c r="BV14" s="394">
        <f t="shared" si="45"/>
        <v>125.52592</v>
      </c>
      <c r="BW14" s="394">
        <f t="shared" si="45"/>
        <v>0</v>
      </c>
      <c r="BX14" s="394">
        <f t="shared" si="45"/>
        <v>8827.7185360000003</v>
      </c>
      <c r="BY14" s="394">
        <f t="shared" si="45"/>
        <v>0</v>
      </c>
      <c r="BZ14" s="394">
        <f t="shared" si="45"/>
        <v>1250</v>
      </c>
      <c r="CA14" s="394">
        <f t="shared" si="45"/>
        <v>0</v>
      </c>
      <c r="CB14" s="394">
        <f t="shared" si="45"/>
        <v>0</v>
      </c>
      <c r="CC14" s="394">
        <f t="shared" si="45"/>
        <v>0</v>
      </c>
      <c r="CD14" s="394">
        <f t="shared" si="45"/>
        <v>-328.96448000000044</v>
      </c>
      <c r="CE14" s="394">
        <f t="shared" si="45"/>
        <v>0</v>
      </c>
      <c r="CF14" s="394">
        <f t="shared" si="45"/>
        <v>0</v>
      </c>
      <c r="CG14" s="394">
        <f t="shared" si="45"/>
        <v>0</v>
      </c>
      <c r="CH14" s="394">
        <f t="shared" si="45"/>
        <v>-30.299360000000007</v>
      </c>
      <c r="CI14" s="394">
        <f t="shared" si="45"/>
        <v>0</v>
      </c>
      <c r="CJ14" s="394">
        <f t="shared" si="45"/>
        <v>-359.26384000000041</v>
      </c>
      <c r="CK14" s="394">
        <f t="shared" si="45"/>
        <v>0</v>
      </c>
      <c r="CL14" s="394">
        <f t="shared" si="45"/>
        <v>0</v>
      </c>
      <c r="CM14" s="394">
        <f t="shared" si="45"/>
        <v>0</v>
      </c>
    </row>
    <row r="16" spans="1:92" ht="21">
      <c r="AO16" s="251" t="s">
        <v>95</v>
      </c>
      <c r="AP16" s="251"/>
      <c r="AQ16" s="251"/>
    </row>
    <row r="18" spans="41:72" ht="21">
      <c r="AO18" s="252"/>
      <c r="AP18" s="252"/>
      <c r="AQ18" s="252"/>
    </row>
    <row r="19" spans="41:72" ht="15.75">
      <c r="AS19" s="374" t="s">
        <v>81</v>
      </c>
      <c r="AT19" s="477" t="s">
        <v>273</v>
      </c>
      <c r="AU19" s="477"/>
      <c r="AV19" s="478" t="s">
        <v>271</v>
      </c>
      <c r="AW19" s="477" t="s">
        <v>274</v>
      </c>
      <c r="AX19" s="477"/>
      <c r="AY19" s="478" t="s">
        <v>272</v>
      </c>
      <c r="AZ19" s="477" t="s">
        <v>275</v>
      </c>
      <c r="BA19" s="477"/>
    </row>
    <row r="20" spans="41:72" ht="15.75">
      <c r="AS20" s="249"/>
      <c r="AT20" s="374" t="s">
        <v>92</v>
      </c>
      <c r="AU20" s="373" t="s">
        <v>94</v>
      </c>
      <c r="AV20" s="479"/>
      <c r="AW20" s="374" t="s">
        <v>96</v>
      </c>
      <c r="AX20" s="373" t="s">
        <v>93</v>
      </c>
      <c r="AY20" s="479"/>
      <c r="AZ20" s="374" t="s">
        <v>96</v>
      </c>
      <c r="BA20" s="373" t="s">
        <v>93</v>
      </c>
    </row>
    <row r="21" spans="41:72">
      <c r="AO21" s="392" t="s">
        <v>276</v>
      </c>
    </row>
    <row r="22" spans="41:72">
      <c r="AQ22" t="s">
        <v>261</v>
      </c>
      <c r="AS22" s="387">
        <f>SUM(SUMIFS(AS2:AS8,CN2:CN8,AQ22,E2:E8,"0001",F2:F8,"00",AT2:AT8,{1,3}))</f>
        <v>2</v>
      </c>
      <c r="AT22" s="387">
        <f>SUMPRODUCT(--(CN2:CN8=AQ22),--(N2:N8&lt;&gt;"NG"),--(AG2:AG8&lt;&gt;"D"),--(AR2:AR8&lt;&gt;6),--(AR2:AR8&lt;&gt;36),--(AR2:AR8&lt;&gt;56),T2:T8)+SUMPRODUCT(--(CN2:CN8=AQ22),--(N2:N8&lt;&gt;"NG"),--(AG2:AG8&lt;&gt;"D"),--(AR2:AR8&lt;&gt;6),--(AR2:AR8&lt;&gt;36),--(AR2:AR8&lt;&gt;56),U2:U8)</f>
        <v>116729.60000000001</v>
      </c>
      <c r="AU22" s="387">
        <f>SUMPRODUCT(--(CN2:CN8=AQ22),--(N2:N8&lt;&gt;"NG"),--(AG2:AG8&lt;&gt;"D"),--(AR2:AR8&lt;&gt;6),--(AR2:AR8&lt;&gt;36),--(AR2:AR8&lt;&gt;56),V2:V8)</f>
        <v>47295.75</v>
      </c>
      <c r="AV22" s="387">
        <f>SUMPRODUCT(--(CN2:CN8=AQ22),AY2:AY8)+SUMPRODUCT(--(CN2:CN8=AQ22),AZ2:AZ8)</f>
        <v>126984</v>
      </c>
      <c r="AW22" s="387">
        <f>SUMPRODUCT(--(CN2:CN8=AQ22),BB2:BB8)+SUMPRODUCT(--(CN2:CN8=AQ22),BC2:BC8)</f>
        <v>25000</v>
      </c>
      <c r="AX22" s="387">
        <f>SUMPRODUCT(--(CN2:CN8=AQ22),BL2:BL8)+SUMPRODUCT(--(CN2:CN8=AQ22),BM2:BM8)</f>
        <v>26248.862639999999</v>
      </c>
      <c r="AY22" s="387">
        <f>SUMPRODUCT(--(CN2:CN8=AQ22),AY2:AY8)+SUMPRODUCT(--(CN2:CN8=AQ22),AZ2:AZ8)+SUMPRODUCT(--(CN2:CN8=AQ22),BA2:BA8)</f>
        <v>126984</v>
      </c>
      <c r="AZ22" s="387">
        <f>SUMPRODUCT(--(CN2:CN8=AQ22),BN2:BN8)+SUMPRODUCT(--(CN2:CN8=AQ22),BO2:BO8)</f>
        <v>27500</v>
      </c>
      <c r="BA22" s="387">
        <f>SUMPRODUCT(--(CN2:CN8=AQ22),BX2:BX8)+SUMPRODUCT(--(CN2:CN8=AQ22),BY2:BY8)</f>
        <v>25194.89544</v>
      </c>
    </row>
    <row r="23" spans="41:72">
      <c r="AP23" t="s">
        <v>277</v>
      </c>
      <c r="AS23" s="398">
        <f t="shared" ref="AS23:BA23" si="46">SUM(AS22:AS22)</f>
        <v>2</v>
      </c>
      <c r="AT23" s="398">
        <f t="shared" si="46"/>
        <v>116729.60000000001</v>
      </c>
      <c r="AU23" s="398">
        <f t="shared" si="46"/>
        <v>47295.75</v>
      </c>
      <c r="AV23" s="398">
        <f t="shared" si="46"/>
        <v>126984</v>
      </c>
      <c r="AW23" s="398">
        <f t="shared" si="46"/>
        <v>25000</v>
      </c>
      <c r="AX23" s="398">
        <f t="shared" si="46"/>
        <v>26248.862639999999</v>
      </c>
      <c r="AY23" s="398">
        <f t="shared" si="46"/>
        <v>126984</v>
      </c>
      <c r="AZ23" s="398">
        <f t="shared" si="46"/>
        <v>27500</v>
      </c>
      <c r="BA23" s="398">
        <f t="shared" si="46"/>
        <v>25194.89544</v>
      </c>
    </row>
    <row r="24" spans="41:72">
      <c r="AQ24" t="s">
        <v>267</v>
      </c>
      <c r="AS24" s="387">
        <f>SUM(SUMIFS(AS2:AS8,CN2:CN8,AQ24,E2:E8,"0349",F2:F8,"00",AT2:AT8,{1,3}))</f>
        <v>1</v>
      </c>
      <c r="AT24" s="387">
        <f>SUMPRODUCT(--(CN2:CN8=AQ24),--(N2:N8&lt;&gt;"NG"),--(AG2:AG8&lt;&gt;"D"),--(AR2:AR8&lt;&gt;6),--(AR2:AR8&lt;&gt;36),--(AR2:AR8&lt;&gt;56),T2:T8)+SUMPRODUCT(--(CN2:CN8=AQ24),--(N2:N8&lt;&gt;"NG"),--(AG2:AG8&lt;&gt;"D"),--(AR2:AR8&lt;&gt;6),--(AR2:AR8&lt;&gt;36),--(AR2:AR8&lt;&gt;56),U2:U8)</f>
        <v>39499.199999999997</v>
      </c>
      <c r="AU24" s="387">
        <f>SUMPRODUCT(--(CN2:CN8=AQ24),--(N2:N8&lt;&gt;"NG"),--(AG2:AG8&lt;&gt;"D"),--(AR2:AR8&lt;&gt;6),--(AR2:AR8&lt;&gt;36),--(AR2:AR8&lt;&gt;56),V2:V8)</f>
        <v>20318.069999999996</v>
      </c>
      <c r="AV24" s="387">
        <f>SUMPRODUCT(--(CN2:CN8=AQ24),AY2:AY8)+SUMPRODUCT(--(CN2:CN8=AQ24),AZ2:AZ8)</f>
        <v>43284.800000000003</v>
      </c>
      <c r="AW24" s="387">
        <f>SUMPRODUCT(--(CN2:CN8=AQ24),BB2:BB8)+SUMPRODUCT(--(CN2:CN8=AQ24),BC2:BC8)</f>
        <v>12500</v>
      </c>
      <c r="AX24" s="387">
        <f>SUMPRODUCT(--(CN2:CN8=AQ24),BL2:BL8)+SUMPRODUCT(--(CN2:CN8=AQ24),BM2:BM8)</f>
        <v>9186.9823759999999</v>
      </c>
      <c r="AY24" s="387">
        <f>SUMPRODUCT(--(CN2:CN8=AQ24),AY2:AY8)+SUMPRODUCT(--(CN2:CN8=AQ24),AZ2:AZ8)+SUMPRODUCT(--(CN2:CN8=AQ24),BA2:BA8)</f>
        <v>43284.800000000003</v>
      </c>
      <c r="AZ24" s="387">
        <f>SUMPRODUCT(--(CN2:CN8=AQ24),BN2:BN8)+SUMPRODUCT(--(CN2:CN8=AQ24),BO2:BO8)</f>
        <v>13750</v>
      </c>
      <c r="BA24" s="387">
        <f>SUMPRODUCT(--(CN2:CN8=AQ24),BX2:BX8)+SUMPRODUCT(--(CN2:CN8=AQ24),BY2:BY8)</f>
        <v>8827.7185360000003</v>
      </c>
    </row>
    <row r="25" spans="41:72">
      <c r="AP25" t="s">
        <v>278</v>
      </c>
      <c r="AS25" s="398">
        <f t="shared" ref="AS25:BA25" si="47">SUM(AS24:AS24)</f>
        <v>1</v>
      </c>
      <c r="AT25" s="398">
        <f t="shared" si="47"/>
        <v>39499.199999999997</v>
      </c>
      <c r="AU25" s="398">
        <f t="shared" si="47"/>
        <v>20318.069999999996</v>
      </c>
      <c r="AV25" s="398">
        <f t="shared" si="47"/>
        <v>43284.800000000003</v>
      </c>
      <c r="AW25" s="398">
        <f t="shared" si="47"/>
        <v>12500</v>
      </c>
      <c r="AX25" s="398">
        <f t="shared" si="47"/>
        <v>9186.9823759999999</v>
      </c>
      <c r="AY25" s="398">
        <f t="shared" si="47"/>
        <v>43284.800000000003</v>
      </c>
      <c r="AZ25" s="398">
        <f t="shared" si="47"/>
        <v>13750</v>
      </c>
      <c r="BA25" s="398">
        <f t="shared" si="47"/>
        <v>8827.7185360000003</v>
      </c>
    </row>
    <row r="26" spans="41:72">
      <c r="AS26" s="387"/>
      <c r="AT26" s="387"/>
      <c r="AU26" s="387"/>
      <c r="AV26" s="387"/>
      <c r="AW26" s="387"/>
      <c r="AX26" s="387"/>
      <c r="AY26" s="387"/>
      <c r="AZ26" s="387"/>
      <c r="BA26" s="387"/>
    </row>
    <row r="27" spans="41:72">
      <c r="AO27" s="396" t="s">
        <v>279</v>
      </c>
      <c r="AS27" s="399">
        <f t="shared" ref="AS27:BA27" si="48">SUM(AS23,AS25)</f>
        <v>3</v>
      </c>
      <c r="AT27" s="399">
        <f t="shared" si="48"/>
        <v>156228.79999999999</v>
      </c>
      <c r="AU27" s="399">
        <f t="shared" si="48"/>
        <v>67613.819999999992</v>
      </c>
      <c r="AV27" s="399">
        <f t="shared" si="48"/>
        <v>170268.79999999999</v>
      </c>
      <c r="AW27" s="399">
        <f t="shared" si="48"/>
        <v>37500</v>
      </c>
      <c r="AX27" s="399">
        <f t="shared" si="48"/>
        <v>35435.845015999999</v>
      </c>
      <c r="AY27" s="399">
        <f t="shared" si="48"/>
        <v>170268.79999999999</v>
      </c>
      <c r="AZ27" s="399">
        <f t="shared" si="48"/>
        <v>41250</v>
      </c>
      <c r="BA27" s="399">
        <f t="shared" si="48"/>
        <v>34022.613976000001</v>
      </c>
    </row>
    <row r="28" spans="41:72">
      <c r="AS28" s="387"/>
      <c r="AT28" s="387"/>
      <c r="AU28" s="387"/>
      <c r="AV28" s="387"/>
      <c r="AW28" s="387"/>
      <c r="AX28" s="387"/>
      <c r="AY28" s="387"/>
      <c r="AZ28" s="387"/>
      <c r="BA28" s="387"/>
    </row>
    <row r="29" spans="41:72">
      <c r="AO29" s="392" t="s">
        <v>280</v>
      </c>
      <c r="AS29" s="387"/>
      <c r="AT29" s="387"/>
      <c r="AU29" s="387"/>
      <c r="AV29" s="387"/>
      <c r="AW29" s="387"/>
      <c r="AX29" s="387"/>
      <c r="AY29" s="387"/>
      <c r="AZ29" s="387"/>
      <c r="BA29" s="387"/>
    </row>
    <row r="30" spans="41:72">
      <c r="AS30" s="387"/>
      <c r="AT30" s="387"/>
      <c r="AU30" s="387"/>
      <c r="AV30" s="387"/>
      <c r="AW30" s="387"/>
      <c r="AX30" s="387"/>
      <c r="AY30" s="387"/>
      <c r="AZ30" s="387"/>
      <c r="BA30" s="387"/>
    </row>
    <row r="31" spans="41:72">
      <c r="AO31" s="396" t="s">
        <v>281</v>
      </c>
      <c r="AS31" s="387"/>
      <c r="AT31" s="387"/>
      <c r="AU31" s="387"/>
      <c r="AV31" s="387"/>
      <c r="AW31" s="387"/>
      <c r="AX31" s="387"/>
      <c r="AY31" s="387"/>
      <c r="AZ31" s="387"/>
      <c r="BA31" s="387"/>
      <c r="BT31" s="392"/>
    </row>
    <row r="32" spans="41:72">
      <c r="AS32" s="387"/>
      <c r="AT32" s="387"/>
      <c r="AU32" s="387"/>
      <c r="AV32" s="387"/>
      <c r="AW32" s="387"/>
      <c r="AX32" s="387"/>
      <c r="AY32" s="387"/>
      <c r="AZ32" s="387"/>
      <c r="BA32" s="387"/>
    </row>
    <row r="33" spans="41:53">
      <c r="AO33" s="397" t="s">
        <v>282</v>
      </c>
      <c r="AS33" s="400">
        <f t="shared" ref="AS33:BA33" si="49">SUM(AS27)</f>
        <v>3</v>
      </c>
      <c r="AT33" s="401">
        <f t="shared" si="49"/>
        <v>156228.79999999999</v>
      </c>
      <c r="AU33" s="401">
        <f t="shared" si="49"/>
        <v>67613.819999999992</v>
      </c>
      <c r="AV33" s="401">
        <f t="shared" si="49"/>
        <v>170268.79999999999</v>
      </c>
      <c r="AW33" s="401">
        <f t="shared" si="49"/>
        <v>37500</v>
      </c>
      <c r="AX33" s="401">
        <f t="shared" si="49"/>
        <v>35435.845015999999</v>
      </c>
      <c r="AY33" s="401">
        <f t="shared" si="49"/>
        <v>170268.79999999999</v>
      </c>
      <c r="AZ33" s="401">
        <f t="shared" si="49"/>
        <v>41250</v>
      </c>
      <c r="BA33" s="401">
        <f t="shared" si="49"/>
        <v>34022.613976000001</v>
      </c>
    </row>
  </sheetData>
  <mergeCells count="5">
    <mergeCell ref="AT19:AU19"/>
    <mergeCell ref="AV19:AV20"/>
    <mergeCell ref="AW19:AX19"/>
    <mergeCell ref="AY19:AY20"/>
    <mergeCell ref="AZ19:BA1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>
      <c r="A1" s="480"/>
      <c r="B1" s="480"/>
      <c r="C1" s="480"/>
      <c r="D1" s="480"/>
      <c r="E1" s="480"/>
    </row>
    <row r="2" spans="1:15" ht="28.5" customHeight="1">
      <c r="A2" s="2" t="s">
        <v>10</v>
      </c>
      <c r="B2" s="2"/>
      <c r="C2" s="2"/>
      <c r="D2" s="2"/>
      <c r="E2" s="2"/>
    </row>
    <row r="3" spans="1:15">
      <c r="A3" s="3"/>
      <c r="B3" s="3"/>
      <c r="C3" s="4" t="s">
        <v>0</v>
      </c>
      <c r="D3" s="4" t="s">
        <v>1</v>
      </c>
      <c r="E3" s="3"/>
    </row>
    <row r="4" spans="1:15" ht="39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>
      <c r="A8" s="3"/>
      <c r="B8" s="130" t="s">
        <v>5</v>
      </c>
      <c r="C8" s="235">
        <v>3.5999999999999999E-3</v>
      </c>
      <c r="D8" s="234">
        <v>2.8999999999999998E-3</v>
      </c>
      <c r="E8" s="314">
        <f t="shared" si="0"/>
        <v>-7.000000000000001E-4</v>
      </c>
    </row>
    <row r="9" spans="1:1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>
      <c r="A12" s="3"/>
      <c r="B12" s="233" t="s">
        <v>11</v>
      </c>
      <c r="C12" s="234">
        <f>SUM(C5:C11)</f>
        <v>9.2844999999999997E-2</v>
      </c>
      <c r="D12" s="234">
        <f>SUM(D5:D11)</f>
        <v>9.2144999999999991E-2</v>
      </c>
      <c r="E12" s="315">
        <f>D12-C12</f>
        <v>-7.0000000000000617E-4</v>
      </c>
      <c r="M12" s="320"/>
    </row>
    <row r="13" spans="1:15">
      <c r="A13" s="3"/>
      <c r="B13" s="231" t="s">
        <v>9</v>
      </c>
      <c r="C13" s="226">
        <f>SUM(C5:C8)</f>
        <v>8.0100000000000005E-2</v>
      </c>
      <c r="D13" s="226">
        <f>SUM(D5:D8)</f>
        <v>7.9399999999999998E-2</v>
      </c>
      <c r="E13" s="313">
        <f t="shared" si="0"/>
        <v>-7.0000000000000617E-4</v>
      </c>
      <c r="F13" s="8"/>
    </row>
    <row r="14" spans="1:15">
      <c r="A14" s="230"/>
      <c r="B14" s="232" t="s">
        <v>100</v>
      </c>
      <c r="C14" s="226">
        <f>SUM(C5:C6,C8:C9)</f>
        <v>8.7309999999999999E-2</v>
      </c>
      <c r="D14" s="226">
        <f>SUM(D5:D6,D8:D9)</f>
        <v>8.6609999999999993E-2</v>
      </c>
      <c r="E14" s="313">
        <f>D14-C14</f>
        <v>-7.0000000000000617E-4</v>
      </c>
      <c r="M14" s="320"/>
    </row>
    <row r="15" spans="1:15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>
      <c r="B17" s="130"/>
      <c r="D17" s="1" t="s">
        <v>45</v>
      </c>
      <c r="K17" s="319"/>
    </row>
    <row r="18" spans="1:11" ht="12" customHeight="1">
      <c r="C18" s="1" t="s">
        <v>45</v>
      </c>
    </row>
    <row r="19" spans="1:11" ht="39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>
      <c r="A28" s="481" t="s">
        <v>108</v>
      </c>
      <c r="B28" s="481"/>
      <c r="C28" s="481"/>
      <c r="D28" s="481"/>
      <c r="E28" s="481"/>
    </row>
    <row r="29" spans="1:11">
      <c r="A29" s="481" t="s">
        <v>109</v>
      </c>
      <c r="B29" s="481"/>
      <c r="C29" s="481"/>
      <c r="D29" s="481"/>
      <c r="E29" s="481"/>
    </row>
    <row r="30" spans="1:11" ht="12.75" customHeight="1">
      <c r="A30" s="247"/>
      <c r="B30" s="247"/>
      <c r="C30" s="247"/>
      <c r="D30" s="247"/>
      <c r="E30" s="247"/>
    </row>
    <row r="31" spans="1:11">
      <c r="A31" s="316" t="s">
        <v>86</v>
      </c>
      <c r="B31" s="316"/>
      <c r="C31" s="247"/>
      <c r="D31" s="247"/>
      <c r="E31" s="247"/>
    </row>
    <row r="32" spans="1:11">
      <c r="A32" s="316"/>
      <c r="B32" s="316" t="s">
        <v>87</v>
      </c>
      <c r="C32" s="247"/>
      <c r="D32" s="247"/>
      <c r="E32" s="247"/>
    </row>
    <row r="33" spans="1:5">
      <c r="A33" s="316"/>
      <c r="B33" s="316" t="s">
        <v>88</v>
      </c>
      <c r="C33" s="247"/>
      <c r="D33" s="247"/>
      <c r="E33" s="247"/>
    </row>
    <row r="34" spans="1:5">
      <c r="A34" s="316"/>
      <c r="B34" s="316" t="s">
        <v>89</v>
      </c>
      <c r="C34" s="247"/>
      <c r="D34" s="247"/>
      <c r="E34" s="247"/>
    </row>
    <row r="35" spans="1:5">
      <c r="A35" s="316"/>
      <c r="B35" s="316" t="s">
        <v>90</v>
      </c>
      <c r="C35" s="247"/>
      <c r="D35" s="247"/>
      <c r="E35" s="247"/>
    </row>
    <row r="36" spans="1:5">
      <c r="A36" s="316"/>
      <c r="B36" s="316" t="s">
        <v>91</v>
      </c>
      <c r="C36" s="247"/>
      <c r="D36" s="247"/>
      <c r="E36" s="247"/>
    </row>
    <row r="38" spans="1:5">
      <c r="B38" s="317" t="s">
        <v>101</v>
      </c>
      <c r="C38" s="318">
        <v>0.01</v>
      </c>
    </row>
    <row r="39" spans="1:5">
      <c r="B39" s="341" t="s">
        <v>102</v>
      </c>
      <c r="C39" s="340">
        <v>0.01</v>
      </c>
    </row>
    <row r="40" spans="1:5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09"/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7"/>
      <c r="N3" s="408"/>
      <c r="AA3" s="337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37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ht="1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9" priority="8">
      <formula>$J$44&lt;0</formula>
    </cfRule>
  </conditionalFormatting>
  <conditionalFormatting sqref="K43">
    <cfRule type="expression" dxfId="8" priority="7">
      <formula>$J$43&lt;0</formula>
    </cfRule>
  </conditionalFormatting>
  <conditionalFormatting sqref="L16">
    <cfRule type="expression" dxfId="7" priority="6">
      <formula>$J$16&lt;0</formula>
    </cfRule>
  </conditionalFormatting>
  <conditionalFormatting sqref="K45">
    <cfRule type="expression" dxfId="6" priority="5">
      <formula>$J$44&lt;0</formula>
    </cfRule>
  </conditionalFormatting>
  <conditionalFormatting sqref="K43:N45">
    <cfRule type="containsText" dxfId="5" priority="4" operator="containsText" text="underfunding">
      <formula>NOT(ISERROR(SEARCH("underfunding",K43)))</formula>
    </cfRule>
  </conditionalFormatting>
  <conditionalFormatting sqref="K44">
    <cfRule type="expression" dxfId="4" priority="3">
      <formula>$J$44&lt;0</formula>
    </cfRule>
  </conditionalFormatting>
  <conditionalFormatting sqref="K45">
    <cfRule type="expression" dxfId="3" priority="2">
      <formula>$J$44&lt;0</formula>
    </cfRule>
  </conditionalFormatting>
  <conditionalFormatting sqref="K45">
    <cfRule type="expression" dxfId="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>
      <c r="A1" s="395" t="s">
        <v>263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>
      <c r="A2" s="412" t="s">
        <v>22</v>
      </c>
      <c r="B2" s="413"/>
      <c r="C2" s="371" t="s">
        <v>23</v>
      </c>
      <c r="D2" s="49" t="s">
        <v>24</v>
      </c>
      <c r="E2" s="50" t="str">
        <f>"FY "&amp;'SGBP|0001-00'!FiscalYear-1&amp;" SALARY"</f>
        <v>FY 2023 SALARY</v>
      </c>
      <c r="F2" s="50" t="str">
        <f>"FY "&amp;'SGBP|0001-00'!FiscalYear-1&amp;" HEALTH BENEFITS"</f>
        <v>FY 2023 HEALTH BENEFITS</v>
      </c>
      <c r="G2" s="50" t="str">
        <f>"FY "&amp;'SGBP|0001-00'!FiscalYear-1&amp;" VAR BENEFITS"</f>
        <v>FY 2023 VAR BENEFITS</v>
      </c>
      <c r="H2" s="50" t="str">
        <f>"FY "&amp;'SGBP|0001-00'!FiscalYear-1&amp;" TOTAL"</f>
        <v>FY 2023 TOTAL</v>
      </c>
      <c r="I2" s="50" t="str">
        <f>"FY "&amp;'SGBP|0001-00'!FiscalYear&amp;" SALARY CHANGE"</f>
        <v>FY 2024 SALARY CHANGE</v>
      </c>
      <c r="J2" s="50" t="str">
        <f>"FY "&amp;'SGBP|0001-00'!FiscalYear&amp;" CHG HEALTH BENEFITS"</f>
        <v>FY 2024 CHG HEALTH BENEFITS</v>
      </c>
      <c r="K2" s="50" t="str">
        <f>"FY "&amp;'SGBP|0001-00'!FiscalYear&amp;" CHG VAR BENEFITS"</f>
        <v>FY 2024 CHG VAR BENEFITS</v>
      </c>
      <c r="L2" s="50" t="s">
        <v>25</v>
      </c>
    </row>
    <row r="3" spans="1:12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>
      <c r="A4" s="405" t="s">
        <v>27</v>
      </c>
      <c r="B4" s="406"/>
      <c r="C4" s="217">
        <v>1</v>
      </c>
      <c r="D4" s="288">
        <f>[0]!SGBP000100col_INC_FTI</f>
        <v>2</v>
      </c>
      <c r="E4" s="218">
        <f>[0]!SGBP000100col_FTI_SALARY_PERM</f>
        <v>126984</v>
      </c>
      <c r="F4" s="218">
        <f>[0]!SGBP000100col_HEALTH_PERM</f>
        <v>25000</v>
      </c>
      <c r="G4" s="218">
        <f>[0]!SGBP000100col_TOT_VB_PERM</f>
        <v>26248.862639999999</v>
      </c>
      <c r="H4" s="219">
        <f>SUM(E4:G4)</f>
        <v>178232.86264000001</v>
      </c>
      <c r="I4" s="219">
        <f>[0]!SGBP000100col_1_27TH_PP</f>
        <v>0</v>
      </c>
      <c r="J4" s="218">
        <f>[0]!SGBP000100col_HEALTH_PERM_CHG</f>
        <v>2500</v>
      </c>
      <c r="K4" s="218">
        <f>[0]!SGBP000100col_TOT_VB_PERM_CHG</f>
        <v>-1053.9672000000012</v>
      </c>
      <c r="L4" s="218">
        <f>SUM(J4:K4)</f>
        <v>1446.0327999999988</v>
      </c>
    </row>
    <row r="5" spans="1:12">
      <c r="A5" s="405" t="s">
        <v>28</v>
      </c>
      <c r="B5" s="406"/>
      <c r="C5" s="217">
        <v>2</v>
      </c>
      <c r="D5" s="288"/>
      <c r="E5" s="218">
        <f>[0]!SGBP000100col_Group_Salary</f>
        <v>0</v>
      </c>
      <c r="F5" s="218">
        <v>0</v>
      </c>
      <c r="G5" s="218">
        <f>[0]!SGBP000100col_Group_Ben</f>
        <v>0</v>
      </c>
      <c r="H5" s="219">
        <f>SUM(E5:G5)</f>
        <v>0</v>
      </c>
      <c r="I5" s="268"/>
      <c r="J5" s="218"/>
      <c r="K5" s="218"/>
      <c r="L5" s="218"/>
    </row>
    <row r="6" spans="1:12">
      <c r="A6" s="405" t="s">
        <v>29</v>
      </c>
      <c r="B6" s="417"/>
      <c r="C6" s="217">
        <v>3</v>
      </c>
      <c r="D6" s="288">
        <f>[0]!SGBP000100col_TOTAL_ELECT_PCN_FTI</f>
        <v>0</v>
      </c>
      <c r="E6" s="218">
        <f>[0]!SGBP000100col_FTI_SALARY_ELECT</f>
        <v>0</v>
      </c>
      <c r="F6" s="218">
        <f>[0]!SGBP000100col_HEALTH_ELECT</f>
        <v>0</v>
      </c>
      <c r="G6" s="218">
        <f>[0]!SGBP000100col_TOT_VB_ELECT</f>
        <v>0</v>
      </c>
      <c r="H6" s="219">
        <f>SUM(E6:G6)</f>
        <v>0</v>
      </c>
      <c r="I6" s="268"/>
      <c r="J6" s="218">
        <f>[0]!SGBP000100col_HEALTH_ELECT_CHG</f>
        <v>0</v>
      </c>
      <c r="K6" s="218">
        <f>[0]!SGBP000100col_TOT_VB_ELECT_CHG</f>
        <v>0</v>
      </c>
      <c r="L6" s="219">
        <f>SUM(J6:K6)</f>
        <v>0</v>
      </c>
    </row>
    <row r="7" spans="1:12">
      <c r="A7" s="405" t="s">
        <v>30</v>
      </c>
      <c r="B7" s="406"/>
      <c r="C7" s="217"/>
      <c r="D7" s="220">
        <f>SUM(D4:D6)</f>
        <v>2</v>
      </c>
      <c r="E7" s="221">
        <f>SUM(E4:E6)</f>
        <v>126984</v>
      </c>
      <c r="F7" s="221">
        <f>SUM(F4:F6)</f>
        <v>25000</v>
      </c>
      <c r="G7" s="221">
        <f>SUM(G4:G6)</f>
        <v>26248.862639999999</v>
      </c>
      <c r="H7" s="219">
        <f>SUM(E7:G7)</f>
        <v>178232.86264000001</v>
      </c>
      <c r="I7" s="268"/>
      <c r="J7" s="219">
        <f>SUM(J4:J6)</f>
        <v>2500</v>
      </c>
      <c r="K7" s="219">
        <f>SUM(K4:K6)</f>
        <v>-1053.9672000000012</v>
      </c>
      <c r="L7" s="219">
        <f>SUM(L4:L6)</f>
        <v>1446.0327999999988</v>
      </c>
    </row>
    <row r="8" spans="1:12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>
      <c r="A9" s="157" t="str">
        <f>"FY "&amp;'SGBP|0001-00'!FiscalYear-1</f>
        <v>FY 2023</v>
      </c>
      <c r="B9" s="158" t="s">
        <v>31</v>
      </c>
      <c r="C9" s="355">
        <v>177000</v>
      </c>
      <c r="D9" s="55">
        <v>2</v>
      </c>
      <c r="E9" s="223">
        <f>IF('SGBP|0001-00'!OrigApprop=0,0,(E7/H7)*'SGBP|0001-00'!OrigApprop)</f>
        <v>126105.63319850856</v>
      </c>
      <c r="F9" s="223">
        <f>IF('SGBP|0001-00'!OrigApprop=0,0,(F7/H7)*'SGBP|0001-00'!OrigApprop)</f>
        <v>24827.071363027731</v>
      </c>
      <c r="G9" s="223">
        <f>IF(E9=0,0,(G7/H7)*'SGBP|0001-00'!OrigApprop)</f>
        <v>26067.295438463705</v>
      </c>
      <c r="H9" s="223">
        <f>SUM(E9:G9)</f>
        <v>177000</v>
      </c>
      <c r="I9" s="268"/>
      <c r="J9" s="224"/>
      <c r="K9" s="224"/>
      <c r="L9" s="224"/>
    </row>
    <row r="10" spans="1:12">
      <c r="A10" s="423" t="s">
        <v>32</v>
      </c>
      <c r="B10" s="424"/>
      <c r="C10" s="160" t="s">
        <v>33</v>
      </c>
      <c r="D10" s="161">
        <f>D9-D7</f>
        <v>0</v>
      </c>
      <c r="E10" s="162">
        <f>E9-E7</f>
        <v>-878.36680149144377</v>
      </c>
      <c r="F10" s="162">
        <f>F9-F7</f>
        <v>-172.92863697226858</v>
      </c>
      <c r="G10" s="162">
        <f>G9-G7</f>
        <v>-181.56720153629431</v>
      </c>
      <c r="H10" s="162">
        <f>H9-H7</f>
        <v>-1232.8626400000066</v>
      </c>
      <c r="I10" s="269"/>
      <c r="J10" s="56" t="str">
        <f>IF('SGBP|0001-00'!OrigApprop=0,"No Original Appropriation amount in DU 3.00 for this fund","Calculated "&amp;IF('SGBP|0001-00'!AdjustedTotal&gt;0,"overfunding ","underfunding ")&amp;"is "&amp;TEXT('SGBP|0001-00'!AdjustedTotal/'SGBP|0001-00'!AppropTotal,"#.0%;(#.0% );0% ;")&amp;" of Original Appropriation")</f>
        <v>Calculated underfunding is (.7% ) of Original Appropriation</v>
      </c>
      <c r="K10" s="163"/>
      <c r="L10" s="164"/>
    </row>
    <row r="12" spans="1:12">
      <c r="A12" s="395" t="s">
        <v>269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>
      <c r="A13" s="412" t="s">
        <v>22</v>
      </c>
      <c r="B13" s="413"/>
      <c r="C13" s="371" t="s">
        <v>23</v>
      </c>
      <c r="D13" s="49" t="s">
        <v>24</v>
      </c>
      <c r="E13" s="50" t="str">
        <f>"FY "&amp;'SGBP|0349-00'!FiscalYear-1&amp;" SALARY"</f>
        <v>FY 2023 SALARY</v>
      </c>
      <c r="F13" s="50" t="str">
        <f>"FY "&amp;'SGBP|0349-00'!FiscalYear-1&amp;" HEALTH BENEFITS"</f>
        <v>FY 2023 HEALTH BENEFITS</v>
      </c>
      <c r="G13" s="50" t="str">
        <f>"FY "&amp;'SGBP|0349-00'!FiscalYear-1&amp;" VAR BENEFITS"</f>
        <v>FY 2023 VAR BENEFITS</v>
      </c>
      <c r="H13" s="50" t="str">
        <f>"FY "&amp;'SGBP|0349-00'!FiscalYear-1&amp;" TOTAL"</f>
        <v>FY 2023 TOTAL</v>
      </c>
      <c r="I13" s="50" t="str">
        <f>"FY "&amp;'SGBP|0349-00'!FiscalYear&amp;" SALARY CHANGE"</f>
        <v>FY 2024 SALARY CHANGE</v>
      </c>
      <c r="J13" s="50" t="str">
        <f>"FY "&amp;'SGBP|0349-00'!FiscalYear&amp;" CHG HEALTH BENEFITS"</f>
        <v>FY 2024 CHG HEALTH BENEFITS</v>
      </c>
      <c r="K13" s="50" t="str">
        <f>"FY "&amp;'SGBP|0349-00'!FiscalYear&amp;" CHG VAR BENEFITS"</f>
        <v>FY 2024 CHG VAR BENEFITS</v>
      </c>
      <c r="L13" s="50" t="s">
        <v>25</v>
      </c>
    </row>
    <row r="14" spans="1:12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>
      <c r="A15" s="405" t="s">
        <v>27</v>
      </c>
      <c r="B15" s="406"/>
      <c r="C15" s="217">
        <v>1</v>
      </c>
      <c r="D15" s="288">
        <f>[0]!SGBP034900col_INC_FTI</f>
        <v>1</v>
      </c>
      <c r="E15" s="218">
        <f>[0]!SGBP034900col_FTI_SALARY_PERM</f>
        <v>43284.800000000003</v>
      </c>
      <c r="F15" s="218">
        <f>[0]!SGBP034900col_HEALTH_PERM</f>
        <v>12500</v>
      </c>
      <c r="G15" s="218">
        <f>[0]!SGBP034900col_TOT_VB_PERM</f>
        <v>9186.9823759999999</v>
      </c>
      <c r="H15" s="219">
        <f>SUM(E15:G15)</f>
        <v>64971.782376000003</v>
      </c>
      <c r="I15" s="219">
        <f>[0]!SGBP034900col_1_27TH_PP</f>
        <v>0</v>
      </c>
      <c r="J15" s="218">
        <f>[0]!SGBP034900col_HEALTH_PERM_CHG</f>
        <v>1250</v>
      </c>
      <c r="K15" s="218">
        <f>[0]!SGBP034900col_TOT_VB_PERM_CHG</f>
        <v>-359.26384000000041</v>
      </c>
      <c r="L15" s="218">
        <f>SUM(J15:K15)</f>
        <v>890.73615999999959</v>
      </c>
    </row>
    <row r="16" spans="1:12">
      <c r="A16" s="405" t="s">
        <v>28</v>
      </c>
      <c r="B16" s="406"/>
      <c r="C16" s="217">
        <v>2</v>
      </c>
      <c r="D16" s="288"/>
      <c r="E16" s="218">
        <f>[0]!SGBP034900col_Group_Salary</f>
        <v>0</v>
      </c>
      <c r="F16" s="218">
        <v>0</v>
      </c>
      <c r="G16" s="218">
        <f>[0]!SGBP034900col_Group_Ben</f>
        <v>0</v>
      </c>
      <c r="H16" s="219">
        <f>SUM(E16:G16)</f>
        <v>0</v>
      </c>
      <c r="I16" s="268"/>
      <c r="J16" s="218"/>
      <c r="K16" s="218"/>
      <c r="L16" s="218"/>
    </row>
    <row r="17" spans="1:12">
      <c r="A17" s="405" t="s">
        <v>29</v>
      </c>
      <c r="B17" s="417"/>
      <c r="C17" s="217">
        <v>3</v>
      </c>
      <c r="D17" s="288">
        <f>[0]!SGBP034900col_TOTAL_ELECT_PCN_FTI</f>
        <v>0</v>
      </c>
      <c r="E17" s="218">
        <f>[0]!SGBP034900col_FTI_SALARY_ELECT</f>
        <v>0</v>
      </c>
      <c r="F17" s="218">
        <f>[0]!SGBP034900col_HEALTH_ELECT</f>
        <v>0</v>
      </c>
      <c r="G17" s="218">
        <f>[0]!SGBP034900col_TOT_VB_ELECT</f>
        <v>0</v>
      </c>
      <c r="H17" s="219">
        <f>SUM(E17:G17)</f>
        <v>0</v>
      </c>
      <c r="I17" s="268"/>
      <c r="J17" s="218">
        <f>[0]!SGBP034900col_HEALTH_ELECT_CHG</f>
        <v>0</v>
      </c>
      <c r="K17" s="218">
        <f>[0]!SGBP034900col_TOT_VB_ELECT_CHG</f>
        <v>0</v>
      </c>
      <c r="L17" s="219">
        <f>SUM(J17:K17)</f>
        <v>0</v>
      </c>
    </row>
    <row r="18" spans="1:12">
      <c r="A18" s="405" t="s">
        <v>30</v>
      </c>
      <c r="B18" s="406"/>
      <c r="C18" s="217"/>
      <c r="D18" s="220">
        <f>SUM(D15:D17)</f>
        <v>1</v>
      </c>
      <c r="E18" s="221">
        <f>SUM(E15:E17)</f>
        <v>43284.800000000003</v>
      </c>
      <c r="F18" s="221">
        <f>SUM(F15:F17)</f>
        <v>12500</v>
      </c>
      <c r="G18" s="221">
        <f>SUM(G15:G17)</f>
        <v>9186.9823759999999</v>
      </c>
      <c r="H18" s="219">
        <f>SUM(E18:G18)</f>
        <v>64971.782376000003</v>
      </c>
      <c r="I18" s="268"/>
      <c r="J18" s="219">
        <f>SUM(J15:J17)</f>
        <v>1250</v>
      </c>
      <c r="K18" s="219">
        <f>SUM(K15:K17)</f>
        <v>-359.26384000000041</v>
      </c>
      <c r="L18" s="219">
        <f>SUM(L15:L17)</f>
        <v>890.73615999999959</v>
      </c>
    </row>
    <row r="19" spans="1:12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>
      <c r="A20" s="157" t="str">
        <f>"FY "&amp;'SGBP|0349-00'!FiscalYear-1</f>
        <v>FY 2023</v>
      </c>
      <c r="B20" s="158" t="s">
        <v>31</v>
      </c>
      <c r="C20" s="355">
        <v>67000</v>
      </c>
      <c r="D20" s="55">
        <v>1</v>
      </c>
      <c r="E20" s="223">
        <f>IF('SGBP|0349-00'!OrigApprop=0,0,(E18/H18)*'SGBP|0349-00'!OrigApprop)</f>
        <v>44636.017266955329</v>
      </c>
      <c r="F20" s="223">
        <f>IF('SGBP|0349-00'!OrigApprop=0,0,(F18/H18)*'SGBP|0349-00'!OrigApprop)</f>
        <v>12890.211248219737</v>
      </c>
      <c r="G20" s="223">
        <f>IF(E20=0,0,(G18/H18)*'SGBP|0349-00'!OrigApprop)</f>
        <v>9473.7714848249343</v>
      </c>
      <c r="H20" s="223">
        <f>SUM(E20:G20)</f>
        <v>67000</v>
      </c>
      <c r="I20" s="268"/>
      <c r="J20" s="224"/>
      <c r="K20" s="224"/>
      <c r="L20" s="224"/>
    </row>
    <row r="21" spans="1:12">
      <c r="A21" s="423" t="s">
        <v>32</v>
      </c>
      <c r="B21" s="424"/>
      <c r="C21" s="160" t="s">
        <v>33</v>
      </c>
      <c r="D21" s="161">
        <f>D20-D18</f>
        <v>0</v>
      </c>
      <c r="E21" s="162">
        <f>E20-E18</f>
        <v>1351.2172669553256</v>
      </c>
      <c r="F21" s="162">
        <f>F20-F18</f>
        <v>390.21124821973717</v>
      </c>
      <c r="G21" s="162">
        <f>G20-G18</f>
        <v>286.78910882493437</v>
      </c>
      <c r="H21" s="162">
        <f>H20-H18</f>
        <v>2028.2176239999972</v>
      </c>
      <c r="I21" s="269"/>
      <c r="J21" s="56" t="str">
        <f>IF('SGBP|0349-00'!OrigApprop=0,"No Original Appropriation amount in DU 3.00 for this fund","Calculated "&amp;IF('SGBP|0349-00'!AdjustedTotal&gt;0,"overfunding ","underfunding ")&amp;"is "&amp;TEXT('SGBP|0349-00'!AdjustedTotal/'SGBP|0349-00'!AppropTotal,"#.0%;(#.0% );0% ;")&amp;" of Original Appropriation")</f>
        <v>Calculated overfunding is 3.0% of Original Appropriation</v>
      </c>
      <c r="K21" s="163"/>
      <c r="L21" s="164"/>
    </row>
  </sheetData>
  <mergeCells count="14">
    <mergeCell ref="A18:B18"/>
    <mergeCell ref="A21:B21"/>
    <mergeCell ref="A10:B10"/>
    <mergeCell ref="A13:B13"/>
    <mergeCell ref="A14:B14"/>
    <mergeCell ref="A15:B15"/>
    <mergeCell ref="A16:B16"/>
    <mergeCell ref="A17:B17"/>
    <mergeCell ref="A7:B7"/>
    <mergeCell ref="A2:B2"/>
    <mergeCell ref="A3:B3"/>
    <mergeCell ref="A4:B4"/>
    <mergeCell ref="A5:B5"/>
    <mergeCell ref="A6:B6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Self-Governing Agencies&amp;R&amp;"Arial"&amp;10 Agency 441</oddHeader>
    <oddFooter>&amp;L&amp;"Arial"&amp;10 B6:Summary by Program, by Fund&amp;R&amp;"Arial"&amp;10 FY 2023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>
      <c r="A2" s="251" t="s">
        <v>95</v>
      </c>
      <c r="B2" s="251"/>
      <c r="C2" s="251"/>
    </row>
    <row r="4" spans="1:13" ht="21">
      <c r="A4" s="252"/>
      <c r="B4" s="252"/>
      <c r="C4" s="252"/>
    </row>
    <row r="5" spans="1:13" ht="15.75" customHeight="1">
      <c r="E5" s="255" t="s">
        <v>81</v>
      </c>
      <c r="F5" s="477" t="s">
        <v>273</v>
      </c>
      <c r="G5" s="477"/>
      <c r="H5" s="478" t="s">
        <v>271</v>
      </c>
      <c r="I5" s="477" t="s">
        <v>274</v>
      </c>
      <c r="J5" s="477"/>
      <c r="K5" s="478" t="s">
        <v>272</v>
      </c>
      <c r="L5" s="477" t="s">
        <v>275</v>
      </c>
      <c r="M5" s="477"/>
    </row>
    <row r="6" spans="1:13" ht="15.7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>
      <c r="A7" s="392" t="s">
        <v>276</v>
      </c>
      <c r="D7" s="250"/>
    </row>
    <row r="8" spans="1:13">
      <c r="C8" t="s">
        <v>261</v>
      </c>
      <c r="D8" s="250"/>
      <c r="E8" s="402">
        <f>Data!AS22</f>
        <v>2</v>
      </c>
      <c r="F8" s="402">
        <f>Data!AT22</f>
        <v>116729.60000000001</v>
      </c>
      <c r="G8" s="402">
        <f>Data!AU22</f>
        <v>47295.75</v>
      </c>
      <c r="H8" s="402">
        <f>Data!AV22</f>
        <v>126984</v>
      </c>
      <c r="I8" s="402">
        <f>Data!AW22</f>
        <v>25000</v>
      </c>
      <c r="J8" s="402">
        <f>Data!AX22</f>
        <v>26248.862639999999</v>
      </c>
      <c r="K8" s="402">
        <f>Data!AY22</f>
        <v>126984</v>
      </c>
      <c r="L8" s="402">
        <f>Data!AZ22</f>
        <v>27500</v>
      </c>
      <c r="M8" s="402">
        <f>Data!BA22</f>
        <v>25194.89544</v>
      </c>
    </row>
    <row r="9" spans="1:13">
      <c r="B9" t="s">
        <v>277</v>
      </c>
      <c r="D9" s="250"/>
      <c r="E9" s="403">
        <f>Data!AS23</f>
        <v>2</v>
      </c>
      <c r="F9" s="403">
        <f>Data!AT23</f>
        <v>116729.60000000001</v>
      </c>
      <c r="G9" s="403">
        <f>Data!AU23</f>
        <v>47295.75</v>
      </c>
      <c r="H9" s="403">
        <f>Data!AV23</f>
        <v>126984</v>
      </c>
      <c r="I9" s="403">
        <f>Data!AW23</f>
        <v>25000</v>
      </c>
      <c r="J9" s="403">
        <f>Data!AX23</f>
        <v>26248.862639999999</v>
      </c>
      <c r="K9" s="403">
        <f>Data!AY23</f>
        <v>126984</v>
      </c>
      <c r="L9" s="403">
        <f>Data!AZ23</f>
        <v>27500</v>
      </c>
      <c r="M9" s="403">
        <f>Data!BA23</f>
        <v>25194.89544</v>
      </c>
    </row>
    <row r="10" spans="1:13">
      <c r="C10" t="s">
        <v>267</v>
      </c>
      <c r="D10" s="250"/>
      <c r="E10" s="402">
        <f>Data!AS24</f>
        <v>1</v>
      </c>
      <c r="F10" s="402">
        <f>Data!AT24</f>
        <v>39499.199999999997</v>
      </c>
      <c r="G10" s="402">
        <f>Data!AU24</f>
        <v>20318.069999999996</v>
      </c>
      <c r="H10" s="402">
        <f>Data!AV24</f>
        <v>43284.800000000003</v>
      </c>
      <c r="I10" s="402">
        <f>Data!AW24</f>
        <v>12500</v>
      </c>
      <c r="J10" s="402">
        <f>Data!AX24</f>
        <v>9186.9823759999999</v>
      </c>
      <c r="K10" s="402">
        <f>Data!AY24</f>
        <v>43284.800000000003</v>
      </c>
      <c r="L10" s="402">
        <f>Data!AZ24</f>
        <v>13750</v>
      </c>
      <c r="M10" s="402">
        <f>Data!BA24</f>
        <v>8827.7185360000003</v>
      </c>
    </row>
    <row r="11" spans="1:13">
      <c r="B11" t="s">
        <v>278</v>
      </c>
      <c r="D11" s="250"/>
      <c r="E11" s="403">
        <f>Data!AS25</f>
        <v>1</v>
      </c>
      <c r="F11" s="403">
        <f>Data!AT25</f>
        <v>39499.199999999997</v>
      </c>
      <c r="G11" s="403">
        <f>Data!AU25</f>
        <v>20318.069999999996</v>
      </c>
      <c r="H11" s="403">
        <f>Data!AV25</f>
        <v>43284.800000000003</v>
      </c>
      <c r="I11" s="403">
        <f>Data!AW25</f>
        <v>12500</v>
      </c>
      <c r="J11" s="403">
        <f>Data!AX25</f>
        <v>9186.9823759999999</v>
      </c>
      <c r="K11" s="403">
        <f>Data!AY25</f>
        <v>43284.800000000003</v>
      </c>
      <c r="L11" s="403">
        <f>Data!AZ25</f>
        <v>13750</v>
      </c>
      <c r="M11" s="403">
        <f>Data!BA25</f>
        <v>8827.7185360000003</v>
      </c>
    </row>
    <row r="12" spans="1:13">
      <c r="D12" s="250"/>
      <c r="E12" s="402">
        <f>Data!AS26</f>
        <v>0</v>
      </c>
      <c r="F12" s="402">
        <f>Data!AT26</f>
        <v>0</v>
      </c>
      <c r="G12" s="402">
        <f>Data!AU26</f>
        <v>0</v>
      </c>
      <c r="H12" s="402">
        <f>Data!AV26</f>
        <v>0</v>
      </c>
      <c r="I12" s="402">
        <f>Data!AW26</f>
        <v>0</v>
      </c>
      <c r="J12" s="402">
        <f>Data!AX26</f>
        <v>0</v>
      </c>
      <c r="K12" s="402">
        <f>Data!AY26</f>
        <v>0</v>
      </c>
      <c r="L12" s="402">
        <f>Data!AZ26</f>
        <v>0</v>
      </c>
      <c r="M12" s="402">
        <f>Data!BA26</f>
        <v>0</v>
      </c>
    </row>
    <row r="13" spans="1:13">
      <c r="A13" s="396" t="s">
        <v>279</v>
      </c>
      <c r="D13" s="250"/>
      <c r="E13" s="404">
        <f>Data!AS27</f>
        <v>3</v>
      </c>
      <c r="F13" s="404">
        <f>Data!AT27</f>
        <v>156228.79999999999</v>
      </c>
      <c r="G13" s="404">
        <f>Data!AU27</f>
        <v>67613.819999999992</v>
      </c>
      <c r="H13" s="404">
        <f>Data!AV27</f>
        <v>170268.79999999999</v>
      </c>
      <c r="I13" s="404">
        <f>Data!AW27</f>
        <v>37500</v>
      </c>
      <c r="J13" s="404">
        <f>Data!AX27</f>
        <v>35435.845015999999</v>
      </c>
      <c r="K13" s="404">
        <f>Data!AY27</f>
        <v>170268.79999999999</v>
      </c>
      <c r="L13" s="404">
        <f>Data!AZ27</f>
        <v>41250</v>
      </c>
      <c r="M13" s="404">
        <f>Data!BA27</f>
        <v>34022.613976000001</v>
      </c>
    </row>
    <row r="14" spans="1:13">
      <c r="E14" s="402">
        <f>Data!AS28</f>
        <v>0</v>
      </c>
      <c r="F14" s="402">
        <f>Data!AT28</f>
        <v>0</v>
      </c>
      <c r="G14" s="402">
        <f>Data!AU28</f>
        <v>0</v>
      </c>
      <c r="H14" s="402">
        <f>Data!AV28</f>
        <v>0</v>
      </c>
      <c r="I14" s="402">
        <f>Data!AW28</f>
        <v>0</v>
      </c>
      <c r="J14" s="402">
        <f>Data!AX28</f>
        <v>0</v>
      </c>
      <c r="K14" s="402">
        <f>Data!AY28</f>
        <v>0</v>
      </c>
      <c r="L14" s="402">
        <f>Data!AZ28</f>
        <v>0</v>
      </c>
      <c r="M14" s="402">
        <f>Data!BA28</f>
        <v>0</v>
      </c>
    </row>
    <row r="15" spans="1:13">
      <c r="A15" s="392" t="s">
        <v>280</v>
      </c>
      <c r="E15" s="402">
        <f>Data!AS29</f>
        <v>0</v>
      </c>
      <c r="F15" s="402">
        <f>Data!AT29</f>
        <v>0</v>
      </c>
      <c r="G15" s="402">
        <f>Data!AU29</f>
        <v>0</v>
      </c>
      <c r="H15" s="402">
        <f>Data!AV29</f>
        <v>0</v>
      </c>
      <c r="I15" s="402">
        <f>Data!AW29</f>
        <v>0</v>
      </c>
      <c r="J15" s="402">
        <f>Data!AX29</f>
        <v>0</v>
      </c>
      <c r="K15" s="402">
        <f>Data!AY29</f>
        <v>0</v>
      </c>
      <c r="L15" s="402">
        <f>Data!AZ29</f>
        <v>0</v>
      </c>
      <c r="M15" s="402">
        <f>Data!BA29</f>
        <v>0</v>
      </c>
    </row>
    <row r="16" spans="1:13">
      <c r="E16" s="402">
        <f>Data!AS30</f>
        <v>0</v>
      </c>
      <c r="F16" s="402">
        <f>Data!AT30</f>
        <v>0</v>
      </c>
      <c r="G16" s="402">
        <f>Data!AU30</f>
        <v>0</v>
      </c>
      <c r="H16" s="402">
        <f>Data!AV30</f>
        <v>0</v>
      </c>
      <c r="I16" s="402">
        <f>Data!AW30</f>
        <v>0</v>
      </c>
      <c r="J16" s="402">
        <f>Data!AX30</f>
        <v>0</v>
      </c>
      <c r="K16" s="402">
        <f>Data!AY30</f>
        <v>0</v>
      </c>
      <c r="L16" s="402">
        <f>Data!AZ30</f>
        <v>0</v>
      </c>
      <c r="M16" s="402">
        <f>Data!BA30</f>
        <v>0</v>
      </c>
    </row>
    <row r="17" spans="1:13">
      <c r="A17" s="396" t="s">
        <v>281</v>
      </c>
      <c r="E17" s="402">
        <f>Data!AS31</f>
        <v>0</v>
      </c>
      <c r="F17" s="402">
        <f>Data!AT31</f>
        <v>0</v>
      </c>
      <c r="G17" s="402">
        <f>Data!AU31</f>
        <v>0</v>
      </c>
      <c r="H17" s="402">
        <f>Data!AV31</f>
        <v>0</v>
      </c>
      <c r="I17" s="402">
        <f>Data!AW31</f>
        <v>0</v>
      </c>
      <c r="J17" s="402">
        <f>Data!AX31</f>
        <v>0</v>
      </c>
      <c r="K17" s="402">
        <f>Data!AY31</f>
        <v>0</v>
      </c>
      <c r="L17" s="402">
        <f>Data!AZ31</f>
        <v>0</v>
      </c>
      <c r="M17" s="402">
        <f>Data!BA31</f>
        <v>0</v>
      </c>
    </row>
    <row r="18" spans="1:13">
      <c r="E18" s="402">
        <f>Data!AS32</f>
        <v>0</v>
      </c>
      <c r="F18" s="402">
        <f>Data!AT32</f>
        <v>0</v>
      </c>
      <c r="G18" s="402">
        <f>Data!AU32</f>
        <v>0</v>
      </c>
      <c r="H18" s="402">
        <f>Data!AV32</f>
        <v>0</v>
      </c>
      <c r="I18" s="402">
        <f>Data!AW32</f>
        <v>0</v>
      </c>
      <c r="J18" s="402">
        <f>Data!AX32</f>
        <v>0</v>
      </c>
      <c r="K18" s="402">
        <f>Data!AY32</f>
        <v>0</v>
      </c>
      <c r="L18" s="402">
        <f>Data!AZ32</f>
        <v>0</v>
      </c>
      <c r="M18" s="402">
        <f>Data!BA32</f>
        <v>0</v>
      </c>
    </row>
    <row r="19" spans="1:13">
      <c r="A19" s="397" t="s">
        <v>282</v>
      </c>
      <c r="E19" s="400">
        <f>Data!AS33</f>
        <v>3</v>
      </c>
      <c r="F19" s="401">
        <f>Data!AT33</f>
        <v>156228.79999999999</v>
      </c>
      <c r="G19" s="401">
        <f>Data!AU33</f>
        <v>67613.819999999992</v>
      </c>
      <c r="H19" s="401">
        <f>Data!AV33</f>
        <v>170268.79999999999</v>
      </c>
      <c r="I19" s="401">
        <f>Data!AW33</f>
        <v>37500</v>
      </c>
      <c r="J19" s="401">
        <f>Data!AX33</f>
        <v>35435.845015999999</v>
      </c>
      <c r="K19" s="401">
        <f>Data!AY33</f>
        <v>170268.79999999999</v>
      </c>
      <c r="L19" s="401">
        <f>Data!AZ33</f>
        <v>41250</v>
      </c>
      <c r="M19" s="401">
        <f>Data!BA33</f>
        <v>34022.613976000001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Self-Governing Agencies&amp;R&amp;"Arial"&amp;10 Agency 441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SGBP|0001-00</vt:lpstr>
      <vt:lpstr>SGBP|0349-00</vt:lpstr>
      <vt:lpstr>Data</vt:lpstr>
      <vt:lpstr>Benefits</vt:lpstr>
      <vt:lpstr>B6</vt:lpstr>
      <vt:lpstr>Summary</vt:lpstr>
      <vt:lpstr>FundSummary</vt:lpstr>
      <vt:lpstr>'SGBP|0001-00'!AdjGroupHlth</vt:lpstr>
      <vt:lpstr>'SGBP|0349-00'!AdjGroupHlth</vt:lpstr>
      <vt:lpstr>AdjGroupHlth</vt:lpstr>
      <vt:lpstr>'SGBP|0001-00'!AdjGroupSalary</vt:lpstr>
      <vt:lpstr>'SGBP|0349-00'!AdjGroupSalary</vt:lpstr>
      <vt:lpstr>AdjGroupSalary</vt:lpstr>
      <vt:lpstr>'SGBP|0001-00'!AdjGroupVB</vt:lpstr>
      <vt:lpstr>'SGBP|0349-00'!AdjGroupVB</vt:lpstr>
      <vt:lpstr>AdjGroupVB</vt:lpstr>
      <vt:lpstr>'SGBP|0001-00'!AdjGroupVBBY</vt:lpstr>
      <vt:lpstr>'SGBP|0349-00'!AdjGroupVBBY</vt:lpstr>
      <vt:lpstr>AdjGroupVBBY</vt:lpstr>
      <vt:lpstr>'SGBP|0001-00'!AdjPermHlth</vt:lpstr>
      <vt:lpstr>'SGBP|0349-00'!AdjPermHlth</vt:lpstr>
      <vt:lpstr>AdjPermHlth</vt:lpstr>
      <vt:lpstr>'SGBP|0001-00'!AdjPermHlthBY</vt:lpstr>
      <vt:lpstr>'SGBP|0349-00'!AdjPermHlthBY</vt:lpstr>
      <vt:lpstr>AdjPermHlthBY</vt:lpstr>
      <vt:lpstr>'SGBP|0001-00'!AdjPermSalary</vt:lpstr>
      <vt:lpstr>'SGBP|0349-00'!AdjPermSalary</vt:lpstr>
      <vt:lpstr>AdjPermSalary</vt:lpstr>
      <vt:lpstr>'SGBP|0001-00'!AdjPermVB</vt:lpstr>
      <vt:lpstr>'SGBP|0349-00'!AdjPermVB</vt:lpstr>
      <vt:lpstr>AdjPermVB</vt:lpstr>
      <vt:lpstr>'SGBP|0001-00'!AdjPermVBBY</vt:lpstr>
      <vt:lpstr>'SGBP|0349-00'!AdjPermVBBY</vt:lpstr>
      <vt:lpstr>AdjPermVBBY</vt:lpstr>
      <vt:lpstr>'SGBP|0001-00'!AdjustedTotal</vt:lpstr>
      <vt:lpstr>'SGBP|0349-00'!AdjustedTotal</vt:lpstr>
      <vt:lpstr>AdjustedTotal</vt:lpstr>
      <vt:lpstr>'SGBP|0001-00'!AgencyNum</vt:lpstr>
      <vt:lpstr>'SGBP|0349-00'!AgencyNum</vt:lpstr>
      <vt:lpstr>AgencyNum</vt:lpstr>
      <vt:lpstr>'SGBP|0001-00'!AppropFTP</vt:lpstr>
      <vt:lpstr>'SGBP|0349-00'!AppropFTP</vt:lpstr>
      <vt:lpstr>AppropFTP</vt:lpstr>
      <vt:lpstr>'SGBP|0001-00'!AppropTotal</vt:lpstr>
      <vt:lpstr>'SGBP|0349-00'!AppropTotal</vt:lpstr>
      <vt:lpstr>AppropTotal</vt:lpstr>
      <vt:lpstr>'SGBP|0001-00'!AtZHealth</vt:lpstr>
      <vt:lpstr>'SGBP|0349-00'!AtZHealth</vt:lpstr>
      <vt:lpstr>AtZHealth</vt:lpstr>
      <vt:lpstr>'SGBP|0001-00'!AtZSalary</vt:lpstr>
      <vt:lpstr>'SGBP|0349-00'!AtZSalary</vt:lpstr>
      <vt:lpstr>AtZSalary</vt:lpstr>
      <vt:lpstr>'SGBP|0001-00'!AtZTotal</vt:lpstr>
      <vt:lpstr>'SGBP|0349-00'!AtZTotal</vt:lpstr>
      <vt:lpstr>AtZTotal</vt:lpstr>
      <vt:lpstr>'SGBP|0001-00'!AtZVarBen</vt:lpstr>
      <vt:lpstr>'SGBP|0349-00'!AtZVarBen</vt:lpstr>
      <vt:lpstr>AtZVarBen</vt:lpstr>
      <vt:lpstr>'SGBP|0001-00'!BudgetUnit</vt:lpstr>
      <vt:lpstr>'SGBP|0349-00'!BudgetUnit</vt:lpstr>
      <vt:lpstr>BudgetUnit</vt:lpstr>
      <vt:lpstr>BudgetYear</vt:lpstr>
      <vt:lpstr>CECGroup</vt:lpstr>
      <vt:lpstr>'SGBP|0001-00'!CECOrigElectSalary</vt:lpstr>
      <vt:lpstr>'SGBP|0349-00'!CECOrigElectSalary</vt:lpstr>
      <vt:lpstr>CECOrigElectSalary</vt:lpstr>
      <vt:lpstr>'SGBP|0001-00'!CECOrigElectVB</vt:lpstr>
      <vt:lpstr>'SGBP|0349-00'!CECOrigElectVB</vt:lpstr>
      <vt:lpstr>CECOrigElectVB</vt:lpstr>
      <vt:lpstr>'SGBP|0001-00'!CECOrigGroupSalary</vt:lpstr>
      <vt:lpstr>'SGBP|0349-00'!CECOrigGroupSalary</vt:lpstr>
      <vt:lpstr>CECOrigGroupSalary</vt:lpstr>
      <vt:lpstr>'SGBP|0001-00'!CECOrigGroupVB</vt:lpstr>
      <vt:lpstr>'SGBP|0349-00'!CECOrigGroupVB</vt:lpstr>
      <vt:lpstr>CECOrigGroupVB</vt:lpstr>
      <vt:lpstr>'SGBP|0001-00'!CECOrigPermSalary</vt:lpstr>
      <vt:lpstr>'SGBP|0349-00'!CECOrigPermSalary</vt:lpstr>
      <vt:lpstr>CECOrigPermSalary</vt:lpstr>
      <vt:lpstr>'SGBP|0001-00'!CECOrigPermVB</vt:lpstr>
      <vt:lpstr>'SGBP|0349-00'!CECOrigPermVB</vt:lpstr>
      <vt:lpstr>CECOrigPermVB</vt:lpstr>
      <vt:lpstr>CECPerm</vt:lpstr>
      <vt:lpstr>'SGBP|0001-00'!CECpermCalc</vt:lpstr>
      <vt:lpstr>'SGBP|0349-00'!CECpermCalc</vt:lpstr>
      <vt:lpstr>CECpermCalc</vt:lpstr>
      <vt:lpstr>'SGBP|0001-00'!Department</vt:lpstr>
      <vt:lpstr>'SGBP|0349-00'!Department</vt:lpstr>
      <vt:lpstr>Department</vt:lpstr>
      <vt:lpstr>DHR</vt:lpstr>
      <vt:lpstr>DHRBY</vt:lpstr>
      <vt:lpstr>DHRCHG</vt:lpstr>
      <vt:lpstr>'SGBP|0001-00'!Division</vt:lpstr>
      <vt:lpstr>'SGBP|0349-00'!Division</vt:lpstr>
      <vt:lpstr>Division</vt:lpstr>
      <vt:lpstr>'SGBP|0001-00'!DUCECElect</vt:lpstr>
      <vt:lpstr>'SGBP|0349-00'!DUCECElect</vt:lpstr>
      <vt:lpstr>DUCECElect</vt:lpstr>
      <vt:lpstr>'SGBP|0001-00'!DUCECGroup</vt:lpstr>
      <vt:lpstr>'SGBP|0349-00'!DUCECGroup</vt:lpstr>
      <vt:lpstr>DUCECGroup</vt:lpstr>
      <vt:lpstr>'SGBP|0001-00'!DUCECPerm</vt:lpstr>
      <vt:lpstr>'SGBP|0349-00'!DUCECPerm</vt:lpstr>
      <vt:lpstr>DUCECPerm</vt:lpstr>
      <vt:lpstr>'SGBP|0001-00'!DUEleven</vt:lpstr>
      <vt:lpstr>'SGBP|0349-00'!DUEleven</vt:lpstr>
      <vt:lpstr>DUEleven</vt:lpstr>
      <vt:lpstr>'SGBP|0001-00'!DUHealthBen</vt:lpstr>
      <vt:lpstr>'SGBP|0349-00'!DUHealthBen</vt:lpstr>
      <vt:lpstr>DUHealthBen</vt:lpstr>
      <vt:lpstr>'SGBP|0001-00'!DUNine</vt:lpstr>
      <vt:lpstr>'SGBP|0349-00'!DUNine</vt:lpstr>
      <vt:lpstr>DUNine</vt:lpstr>
      <vt:lpstr>'SGBP|0001-00'!DUThirteen</vt:lpstr>
      <vt:lpstr>'SGBP|0349-00'!DUThirteen</vt:lpstr>
      <vt:lpstr>DUThirteen</vt:lpstr>
      <vt:lpstr>'SGBP|0001-00'!DUVariableBen</vt:lpstr>
      <vt:lpstr>'SGBP|0349-00'!DUVariableBen</vt:lpstr>
      <vt:lpstr>DUVariableBen</vt:lpstr>
      <vt:lpstr>'SGBP|0001-00'!Elect_chg_health</vt:lpstr>
      <vt:lpstr>'SGBP|0349-00'!Elect_chg_health</vt:lpstr>
      <vt:lpstr>Elect_chg_health</vt:lpstr>
      <vt:lpstr>'SGBP|0001-00'!Elect_chg_Var</vt:lpstr>
      <vt:lpstr>'SGBP|0349-00'!Elect_chg_Var</vt:lpstr>
      <vt:lpstr>Elect_chg_Var</vt:lpstr>
      <vt:lpstr>'SGBP|0001-00'!elect_FTP</vt:lpstr>
      <vt:lpstr>'SGBP|0349-00'!elect_FTP</vt:lpstr>
      <vt:lpstr>elect_FTP</vt:lpstr>
      <vt:lpstr>'SGBP|0001-00'!Elect_health</vt:lpstr>
      <vt:lpstr>'SGBP|0349-00'!Elect_health</vt:lpstr>
      <vt:lpstr>Elect_health</vt:lpstr>
      <vt:lpstr>'SGBP|0001-00'!Elect_name</vt:lpstr>
      <vt:lpstr>'SGBP|0349-00'!Elect_name</vt:lpstr>
      <vt:lpstr>Elect_name</vt:lpstr>
      <vt:lpstr>'SGBP|0001-00'!Elect_salary</vt:lpstr>
      <vt:lpstr>'SGBP|0349-00'!Elect_salary</vt:lpstr>
      <vt:lpstr>Elect_salary</vt:lpstr>
      <vt:lpstr>'SGBP|0001-00'!Elect_Var</vt:lpstr>
      <vt:lpstr>'SGBP|0349-00'!Elect_Var</vt:lpstr>
      <vt:lpstr>Elect_Var</vt:lpstr>
      <vt:lpstr>'SGBP|0001-00'!Elect_VarBen</vt:lpstr>
      <vt:lpstr>'SGBP|0349-00'!Elect_VarBen</vt:lpstr>
      <vt:lpstr>Elect_VarBen</vt:lpstr>
      <vt:lpstr>ElectVB</vt:lpstr>
      <vt:lpstr>ElectVBBY</vt:lpstr>
      <vt:lpstr>ElectVBCHG</vt:lpstr>
      <vt:lpstr>FillRate_Avg</vt:lpstr>
      <vt:lpstr>'SGBP|0001-00'!FiscalYear</vt:lpstr>
      <vt:lpstr>'SGBP|0349-00'!FiscalYear</vt:lpstr>
      <vt:lpstr>FiscalYear</vt:lpstr>
      <vt:lpstr>'SGBP|0001-00'!FundName</vt:lpstr>
      <vt:lpstr>'SGBP|0349-00'!FundName</vt:lpstr>
      <vt:lpstr>FundName</vt:lpstr>
      <vt:lpstr>'SGBP|0001-00'!FundNum</vt:lpstr>
      <vt:lpstr>'SGBP|0349-00'!FundNum</vt:lpstr>
      <vt:lpstr>FundNum</vt:lpstr>
      <vt:lpstr>'SGBP|0001-00'!FundNumber</vt:lpstr>
      <vt:lpstr>'SGBP|0349-00'!FundNumber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'SGBP|0001-00'!Group_name</vt:lpstr>
      <vt:lpstr>'SGBP|0349-00'!Group_name</vt:lpstr>
      <vt:lpstr>Group_name</vt:lpstr>
      <vt:lpstr>'SGBP|0001-00'!GroupFxdBen</vt:lpstr>
      <vt:lpstr>'SGBP|0349-00'!GroupFxdBen</vt:lpstr>
      <vt:lpstr>GroupFxdBen</vt:lpstr>
      <vt:lpstr>'SGBP|0001-00'!GroupSalary</vt:lpstr>
      <vt:lpstr>'SGBP|0349-00'!GroupSalary</vt:lpstr>
      <vt:lpstr>GroupSalary</vt:lpstr>
      <vt:lpstr>'SGBP|0001-00'!GroupVarBen</vt:lpstr>
      <vt:lpstr>'SGBP|0349-00'!GroupVarBen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'SGBP|0001-00'!LUMAFund</vt:lpstr>
      <vt:lpstr>'SGBP|0349-00'!LUMAFund</vt:lpstr>
      <vt:lpstr>LUMAFund</vt:lpstr>
      <vt:lpstr>MAXSSDI</vt:lpstr>
      <vt:lpstr>MAXSSDIBY</vt:lpstr>
      <vt:lpstr>'SGBP|0001-00'!NEW_AdjGroup</vt:lpstr>
      <vt:lpstr>'SGBP|0349-00'!NEW_AdjGroup</vt:lpstr>
      <vt:lpstr>NEW_AdjGroup</vt:lpstr>
      <vt:lpstr>'SGBP|0001-00'!NEW_AdjGroupSalary</vt:lpstr>
      <vt:lpstr>'SGBP|0349-00'!NEW_AdjGroupSalary</vt:lpstr>
      <vt:lpstr>NEW_AdjGroupSalary</vt:lpstr>
      <vt:lpstr>'SGBP|0001-00'!NEW_AdjGroupVB</vt:lpstr>
      <vt:lpstr>'SGBP|0349-00'!NEW_AdjGroupVB</vt:lpstr>
      <vt:lpstr>NEW_AdjGroupVB</vt:lpstr>
      <vt:lpstr>'SGBP|0001-00'!NEW_AdjONLYGroup</vt:lpstr>
      <vt:lpstr>'SGBP|0349-00'!NEW_AdjONLYGroup</vt:lpstr>
      <vt:lpstr>NEW_AdjONLYGroup</vt:lpstr>
      <vt:lpstr>'SGBP|0001-00'!NEW_AdjONLYGroupSalary</vt:lpstr>
      <vt:lpstr>'SGBP|0349-00'!NEW_AdjONLYGroupSalary</vt:lpstr>
      <vt:lpstr>NEW_AdjONLYGroupSalary</vt:lpstr>
      <vt:lpstr>'SGBP|0001-00'!NEW_AdjONLYGroupVB</vt:lpstr>
      <vt:lpstr>'SGBP|0349-00'!NEW_AdjONLYGroupVB</vt:lpstr>
      <vt:lpstr>NEW_AdjONLYGroupVB</vt:lpstr>
      <vt:lpstr>'SGBP|0001-00'!NEW_AdjONLYPerm</vt:lpstr>
      <vt:lpstr>'SGBP|0349-00'!NEW_AdjONLYPerm</vt:lpstr>
      <vt:lpstr>NEW_AdjONLYPerm</vt:lpstr>
      <vt:lpstr>'SGBP|0001-00'!NEW_AdjONLYPermSalary</vt:lpstr>
      <vt:lpstr>'SGBP|0349-00'!NEW_AdjONLYPermSalary</vt:lpstr>
      <vt:lpstr>NEW_AdjONLYPermSalary</vt:lpstr>
      <vt:lpstr>'SGBP|0001-00'!NEW_AdjONLYPermVB</vt:lpstr>
      <vt:lpstr>'SGBP|0349-00'!NEW_AdjONLYPermVB</vt:lpstr>
      <vt:lpstr>NEW_AdjONLYPermVB</vt:lpstr>
      <vt:lpstr>'SGBP|0001-00'!NEW_AdjPerm</vt:lpstr>
      <vt:lpstr>'SGBP|0349-00'!NEW_AdjPerm</vt:lpstr>
      <vt:lpstr>NEW_AdjPerm</vt:lpstr>
      <vt:lpstr>'SGBP|0001-00'!NEW_AdjPermSalary</vt:lpstr>
      <vt:lpstr>'SGBP|0349-00'!NEW_AdjPermSalary</vt:lpstr>
      <vt:lpstr>NEW_AdjPermSalary</vt:lpstr>
      <vt:lpstr>'SGBP|0001-00'!NEW_AdjPermVB</vt:lpstr>
      <vt:lpstr>'SGBP|0349-00'!NEW_AdjPermVB</vt:lpstr>
      <vt:lpstr>NEW_AdjPermVB</vt:lpstr>
      <vt:lpstr>'SGBP|0001-00'!NEW_GroupFilled</vt:lpstr>
      <vt:lpstr>'SGBP|0349-00'!NEW_GroupFilled</vt:lpstr>
      <vt:lpstr>NEW_GroupFilled</vt:lpstr>
      <vt:lpstr>'SGBP|0001-00'!NEW_GroupSalaryFilled</vt:lpstr>
      <vt:lpstr>'SGBP|0349-00'!NEW_GroupSalaryFilled</vt:lpstr>
      <vt:lpstr>NEW_GroupSalaryFilled</vt:lpstr>
      <vt:lpstr>'SGBP|0001-00'!NEW_GroupVBFilled</vt:lpstr>
      <vt:lpstr>'SGBP|0349-00'!NEW_GroupVBFilled</vt:lpstr>
      <vt:lpstr>NEW_GroupVBFilled</vt:lpstr>
      <vt:lpstr>'SGBP|0001-00'!NEW_PermFilled</vt:lpstr>
      <vt:lpstr>'SGBP|0349-00'!NEW_PermFilled</vt:lpstr>
      <vt:lpstr>NEW_PermFilled</vt:lpstr>
      <vt:lpstr>'SGBP|0001-00'!NEW_PermSalaryFilled</vt:lpstr>
      <vt:lpstr>'SGBP|0349-00'!NEW_PermSalaryFilled</vt:lpstr>
      <vt:lpstr>NEW_PermSalaryFilled</vt:lpstr>
      <vt:lpstr>'SGBP|0001-00'!NEW_PermVBFilled</vt:lpstr>
      <vt:lpstr>'SGBP|0349-00'!NEW_PermVBFilled</vt:lpstr>
      <vt:lpstr>NEW_PermVBFilled</vt:lpstr>
      <vt:lpstr>'SGBP|0001-00'!OneTimePC_Total</vt:lpstr>
      <vt:lpstr>'SGBP|0349-00'!OneTimePC_Total</vt:lpstr>
      <vt:lpstr>OneTimePC_Total</vt:lpstr>
      <vt:lpstr>'SGBP|0001-00'!OrigApprop</vt:lpstr>
      <vt:lpstr>'SGBP|0349-00'!OrigApprop</vt:lpstr>
      <vt:lpstr>OrigApprop</vt:lpstr>
      <vt:lpstr>'SGBP|0001-00'!perm_name</vt:lpstr>
      <vt:lpstr>'SGBP|0349-00'!perm_name</vt:lpstr>
      <vt:lpstr>perm_name</vt:lpstr>
      <vt:lpstr>'SGBP|0001-00'!PermFTP</vt:lpstr>
      <vt:lpstr>'SGBP|0349-00'!PermFTP</vt:lpstr>
      <vt:lpstr>PermFTP</vt:lpstr>
      <vt:lpstr>'SGBP|0001-00'!PermFxdBen</vt:lpstr>
      <vt:lpstr>'SGBP|0349-00'!PermFxdBen</vt:lpstr>
      <vt:lpstr>PermFxdBen</vt:lpstr>
      <vt:lpstr>'SGBP|0001-00'!PermFxdBenChg</vt:lpstr>
      <vt:lpstr>'SGBP|0349-00'!PermFxdBenChg</vt:lpstr>
      <vt:lpstr>PermFxdBenChg</vt:lpstr>
      <vt:lpstr>'SGBP|0001-00'!PermFxdChg</vt:lpstr>
      <vt:lpstr>'SGBP|0349-00'!PermFxdChg</vt:lpstr>
      <vt:lpstr>PermFxdChg</vt:lpstr>
      <vt:lpstr>'SGBP|0001-00'!PermSalary</vt:lpstr>
      <vt:lpstr>'SGBP|0349-00'!PermSalary</vt:lpstr>
      <vt:lpstr>PermSalary</vt:lpstr>
      <vt:lpstr>'SGBP|0001-00'!PermVarBen</vt:lpstr>
      <vt:lpstr>'SGBP|0349-00'!PermVarBen</vt:lpstr>
      <vt:lpstr>PermVarBen</vt:lpstr>
      <vt:lpstr>'SGBP|0001-00'!PermVarBenChg</vt:lpstr>
      <vt:lpstr>'SGBP|0349-00'!PermVarBenChg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'SGBP|0001-00'!Print_Area</vt:lpstr>
      <vt:lpstr>'SGBP|0349-00'!Print_Area</vt:lpstr>
      <vt:lpstr>'SGBP|0001-00'!Prog_Unadjusted_Total</vt:lpstr>
      <vt:lpstr>'SGBP|0349-00'!Prog_Unadjusted_Total</vt:lpstr>
      <vt:lpstr>Prog_Unadjusted_Total</vt:lpstr>
      <vt:lpstr>'SGBP|0001-00'!Program</vt:lpstr>
      <vt:lpstr>'SGBP|0349-00'!Program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'SGBP|0001-00'!RoundedAppropSalary</vt:lpstr>
      <vt:lpstr>'SGBP|0349-00'!RoundedAppropSalary</vt:lpstr>
      <vt:lpstr>RoundedAppropSalary</vt:lpstr>
      <vt:lpstr>'SGBP|0001-00'!SalaryChg</vt:lpstr>
      <vt:lpstr>'SGBP|0349-00'!SalaryChg</vt:lpstr>
      <vt:lpstr>SalaryChg</vt:lpstr>
      <vt:lpstr>SGBP000100col_1_27TH_PP</vt:lpstr>
      <vt:lpstr>SGBP000100col_DHR</vt:lpstr>
      <vt:lpstr>SGBP000100col_DHR_BY</vt:lpstr>
      <vt:lpstr>SGBP000100col_DHR_CHG</vt:lpstr>
      <vt:lpstr>SGBP000100col_FTI_SALARY_ELECT</vt:lpstr>
      <vt:lpstr>SGBP000100col_FTI_SALARY_PERM</vt:lpstr>
      <vt:lpstr>SGBP000100col_FTI_SALARY_SSDI</vt:lpstr>
      <vt:lpstr>SGBP000100col_Group_Ben</vt:lpstr>
      <vt:lpstr>SGBP000100col_Group_Salary</vt:lpstr>
      <vt:lpstr>SGBP000100col_HEALTH_ELECT</vt:lpstr>
      <vt:lpstr>SGBP000100col_HEALTH_ELECT_BY</vt:lpstr>
      <vt:lpstr>SGBP000100col_HEALTH_ELECT_CHG</vt:lpstr>
      <vt:lpstr>SGBP000100col_HEALTH_PERM</vt:lpstr>
      <vt:lpstr>SGBP000100col_HEALTH_PERM_BY</vt:lpstr>
      <vt:lpstr>SGBP000100col_HEALTH_PERM_CHG</vt:lpstr>
      <vt:lpstr>SGBP000100col_INC_FTI</vt:lpstr>
      <vt:lpstr>SGBP000100col_LIFE_INS</vt:lpstr>
      <vt:lpstr>SGBP000100col_LIFE_INS_BY</vt:lpstr>
      <vt:lpstr>SGBP000100col_LIFE_INS_CHG</vt:lpstr>
      <vt:lpstr>SGBP000100col_RETIREMENT</vt:lpstr>
      <vt:lpstr>SGBP000100col_RETIREMENT_BY</vt:lpstr>
      <vt:lpstr>SGBP000100col_RETIREMENT_CHG</vt:lpstr>
      <vt:lpstr>SGBP000100col_ROWS_PER_PCN</vt:lpstr>
      <vt:lpstr>SGBP000100col_SICK</vt:lpstr>
      <vt:lpstr>SGBP000100col_SICK_BY</vt:lpstr>
      <vt:lpstr>SGBP000100col_SICK_CHG</vt:lpstr>
      <vt:lpstr>SGBP000100col_SSDI</vt:lpstr>
      <vt:lpstr>SGBP000100col_SSDI_BY</vt:lpstr>
      <vt:lpstr>SGBP000100col_SSDI_CHG</vt:lpstr>
      <vt:lpstr>SGBP000100col_SSHI</vt:lpstr>
      <vt:lpstr>SGBP000100col_SSHI_BY</vt:lpstr>
      <vt:lpstr>SGBP000100col_SSHI_CHGv</vt:lpstr>
      <vt:lpstr>SGBP000100col_TOT_VB_ELECT</vt:lpstr>
      <vt:lpstr>SGBP000100col_TOT_VB_ELECT_BY</vt:lpstr>
      <vt:lpstr>SGBP000100col_TOT_VB_ELECT_CHG</vt:lpstr>
      <vt:lpstr>SGBP000100col_TOT_VB_PERM</vt:lpstr>
      <vt:lpstr>SGBP000100col_TOT_VB_PERM_BY</vt:lpstr>
      <vt:lpstr>SGBP000100col_TOT_VB_PERM_CHG</vt:lpstr>
      <vt:lpstr>SGBP000100col_TOTAL_ELECT_PCN_FTI</vt:lpstr>
      <vt:lpstr>SGBP000100col_TOTAL_ELECT_PCN_FTI_ALT</vt:lpstr>
      <vt:lpstr>SGBP000100col_TOTAL_PERM_PCN_FTI</vt:lpstr>
      <vt:lpstr>SGBP000100col_UNEMP_INS</vt:lpstr>
      <vt:lpstr>SGBP000100col_UNEMP_INS_BY</vt:lpstr>
      <vt:lpstr>SGBP000100col_UNEMP_INS_CHG</vt:lpstr>
      <vt:lpstr>SGBP000100col_WORKERS_COMP</vt:lpstr>
      <vt:lpstr>SGBP000100col_WORKERS_COMP_BY</vt:lpstr>
      <vt:lpstr>SGBP000100col_WORKERS_COMP_CHG</vt:lpstr>
      <vt:lpstr>SGBP034900col_1_27TH_PP</vt:lpstr>
      <vt:lpstr>SGBP034900col_DHR</vt:lpstr>
      <vt:lpstr>SGBP034900col_DHR_BY</vt:lpstr>
      <vt:lpstr>SGBP034900col_DHR_CHG</vt:lpstr>
      <vt:lpstr>SGBP034900col_FTI_SALARY_ELECT</vt:lpstr>
      <vt:lpstr>SGBP034900col_FTI_SALARY_PERM</vt:lpstr>
      <vt:lpstr>SGBP034900col_FTI_SALARY_SSDI</vt:lpstr>
      <vt:lpstr>SGBP034900col_Group_Ben</vt:lpstr>
      <vt:lpstr>SGBP034900col_Group_Salary</vt:lpstr>
      <vt:lpstr>SGBP034900col_HEALTH_ELECT</vt:lpstr>
      <vt:lpstr>SGBP034900col_HEALTH_ELECT_BY</vt:lpstr>
      <vt:lpstr>SGBP034900col_HEALTH_ELECT_CHG</vt:lpstr>
      <vt:lpstr>SGBP034900col_HEALTH_PERM</vt:lpstr>
      <vt:lpstr>SGBP034900col_HEALTH_PERM_BY</vt:lpstr>
      <vt:lpstr>SGBP034900col_HEALTH_PERM_CHG</vt:lpstr>
      <vt:lpstr>SGBP034900col_INC_FTI</vt:lpstr>
      <vt:lpstr>SGBP034900col_LIFE_INS</vt:lpstr>
      <vt:lpstr>SGBP034900col_LIFE_INS_BY</vt:lpstr>
      <vt:lpstr>SGBP034900col_LIFE_INS_CHG</vt:lpstr>
      <vt:lpstr>SGBP034900col_RETIREMENT</vt:lpstr>
      <vt:lpstr>SGBP034900col_RETIREMENT_BY</vt:lpstr>
      <vt:lpstr>SGBP034900col_RETIREMENT_CHG</vt:lpstr>
      <vt:lpstr>SGBP034900col_ROWS_PER_PCN</vt:lpstr>
      <vt:lpstr>SGBP034900col_SICK</vt:lpstr>
      <vt:lpstr>SGBP034900col_SICK_BY</vt:lpstr>
      <vt:lpstr>SGBP034900col_SICK_CHG</vt:lpstr>
      <vt:lpstr>SGBP034900col_SSDI</vt:lpstr>
      <vt:lpstr>SGBP034900col_SSDI_BY</vt:lpstr>
      <vt:lpstr>SGBP034900col_SSDI_CHG</vt:lpstr>
      <vt:lpstr>SGBP034900col_SSHI</vt:lpstr>
      <vt:lpstr>SGBP034900col_SSHI_BY</vt:lpstr>
      <vt:lpstr>SGBP034900col_SSHI_CHGv</vt:lpstr>
      <vt:lpstr>SGBP034900col_TOT_VB_ELECT</vt:lpstr>
      <vt:lpstr>SGBP034900col_TOT_VB_ELECT_BY</vt:lpstr>
      <vt:lpstr>SGBP034900col_TOT_VB_ELECT_CHG</vt:lpstr>
      <vt:lpstr>SGBP034900col_TOT_VB_PERM</vt:lpstr>
      <vt:lpstr>SGBP034900col_TOT_VB_PERM_BY</vt:lpstr>
      <vt:lpstr>SGBP034900col_TOT_VB_PERM_CHG</vt:lpstr>
      <vt:lpstr>SGBP034900col_TOTAL_ELECT_PCN_FTI</vt:lpstr>
      <vt:lpstr>SGBP034900col_TOTAL_ELECT_PCN_FTI_ALT</vt:lpstr>
      <vt:lpstr>SGBP034900col_TOTAL_PERM_PCN_FTI</vt:lpstr>
      <vt:lpstr>SGBP034900col_UNEMP_INS</vt:lpstr>
      <vt:lpstr>SGBP034900col_UNEMP_INS_BY</vt:lpstr>
      <vt:lpstr>SGBP034900col_UNEMP_INS_CHG</vt:lpstr>
      <vt:lpstr>SGBP034900col_WORKERS_COMP</vt:lpstr>
      <vt:lpstr>SGBP034900col_WORKERS_COMP_BY</vt:lpstr>
      <vt:lpstr>SGBP034900col_WORKERS_COMP_CHG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443 B6</dc:title>
  <dc:subject>B6</dc:subject>
  <dc:creator>Shane Winslow</dc:creator>
  <cp:lastModifiedBy>Alex Williamson</cp:lastModifiedBy>
  <cp:lastPrinted>2019-06-21T15:46:35Z</cp:lastPrinted>
  <dcterms:created xsi:type="dcterms:W3CDTF">2013-05-01T19:55:41Z</dcterms:created>
  <dcterms:modified xsi:type="dcterms:W3CDTF">2022-07-25T21:22:18Z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