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163B1B78-372D-4280-A193-5ADC4A44C9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DMA|0001-00" sheetId="12" r:id="rId1"/>
    <sheet name="EDMA|0348-00" sheetId="13" r:id="rId2"/>
    <sheet name="EDMA|0349-00" sheetId="14" r:id="rId3"/>
    <sheet name="EDMA|0481-09" sheetId="15" r:id="rId4"/>
    <sheet name="EDMB|0450-75" sheetId="17" r:id="rId5"/>
    <sheet name="Data" sheetId="5" r:id="rId6"/>
    <sheet name="Benefits" sheetId="7" r:id="rId7"/>
    <sheet name="B6" sheetId="9" r:id="rId8"/>
    <sheet name="Summary" sheetId="10" r:id="rId9"/>
    <sheet name="FundSummary" sheetId="11" r:id="rId10"/>
  </sheets>
  <definedNames>
    <definedName name="AdjGroupHlth" localSheetId="0">'EDMA|0001-00'!$H$39</definedName>
    <definedName name="AdjGroupHlth" localSheetId="1">'EDMA|0348-00'!$H$39</definedName>
    <definedName name="AdjGroupHlth" localSheetId="2">'EDMA|0349-00'!$H$39</definedName>
    <definedName name="AdjGroupHlth" localSheetId="3">'EDMA|0481-09'!$H$39</definedName>
    <definedName name="AdjGroupHlth" localSheetId="4">'EDMB|0450-75'!$H$39</definedName>
    <definedName name="AdjGroupHlth">'B6'!$H$39</definedName>
    <definedName name="AdjGroupSalary" localSheetId="0">'EDMA|0001-00'!$G$39</definedName>
    <definedName name="AdjGroupSalary" localSheetId="1">'EDMA|0348-00'!$G$39</definedName>
    <definedName name="AdjGroupSalary" localSheetId="2">'EDMA|0349-00'!$G$39</definedName>
    <definedName name="AdjGroupSalary" localSheetId="3">'EDMA|0481-09'!$G$39</definedName>
    <definedName name="AdjGroupSalary" localSheetId="4">'EDMB|0450-75'!$G$39</definedName>
    <definedName name="AdjGroupSalary">'B6'!$G$39</definedName>
    <definedName name="AdjGroupVB" localSheetId="0">'EDMA|0001-00'!$I$39</definedName>
    <definedName name="AdjGroupVB" localSheetId="1">'EDMA|0348-00'!$I$39</definedName>
    <definedName name="AdjGroupVB" localSheetId="2">'EDMA|0349-00'!$I$39</definedName>
    <definedName name="AdjGroupVB" localSheetId="3">'EDMA|0481-09'!$I$39</definedName>
    <definedName name="AdjGroupVB" localSheetId="4">'EDMB|0450-75'!$I$39</definedName>
    <definedName name="AdjGroupVB">'B6'!$I$39</definedName>
    <definedName name="AdjGroupVBBY" localSheetId="0">'EDMA|0001-00'!$M$39</definedName>
    <definedName name="AdjGroupVBBY" localSheetId="1">'EDMA|0348-00'!$M$39</definedName>
    <definedName name="AdjGroupVBBY" localSheetId="2">'EDMA|0349-00'!$M$39</definedName>
    <definedName name="AdjGroupVBBY" localSheetId="3">'EDMA|0481-09'!$M$39</definedName>
    <definedName name="AdjGroupVBBY" localSheetId="4">'EDMB|0450-75'!$M$39</definedName>
    <definedName name="AdjGroupVBBY">'B6'!$M$39</definedName>
    <definedName name="AdjPermHlth" localSheetId="0">'EDMA|0001-00'!$H$38</definedName>
    <definedName name="AdjPermHlth" localSheetId="1">'EDMA|0348-00'!$H$38</definedName>
    <definedName name="AdjPermHlth" localSheetId="2">'EDMA|0349-00'!$H$38</definedName>
    <definedName name="AdjPermHlth" localSheetId="3">'EDMA|0481-09'!$H$38</definedName>
    <definedName name="AdjPermHlth" localSheetId="4">'EDMB|0450-75'!$H$38</definedName>
    <definedName name="AdjPermHlth">'B6'!$H$38</definedName>
    <definedName name="AdjPermHlthBY" localSheetId="0">'EDMA|0001-00'!$L$38</definedName>
    <definedName name="AdjPermHlthBY" localSheetId="1">'EDMA|0348-00'!$L$38</definedName>
    <definedName name="AdjPermHlthBY" localSheetId="2">'EDMA|0349-00'!$L$38</definedName>
    <definedName name="AdjPermHlthBY" localSheetId="3">'EDMA|0481-09'!$L$38</definedName>
    <definedName name="AdjPermHlthBY" localSheetId="4">'EDMB|0450-75'!$L$38</definedName>
    <definedName name="AdjPermHlthBY">'B6'!$L$38</definedName>
    <definedName name="AdjPermSalary" localSheetId="0">'EDMA|0001-00'!$G$38</definedName>
    <definedName name="AdjPermSalary" localSheetId="1">'EDMA|0348-00'!$G$38</definedName>
    <definedName name="AdjPermSalary" localSheetId="2">'EDMA|0349-00'!$G$38</definedName>
    <definedName name="AdjPermSalary" localSheetId="3">'EDMA|0481-09'!$G$38</definedName>
    <definedName name="AdjPermSalary" localSheetId="4">'EDMB|0450-75'!$G$38</definedName>
    <definedName name="AdjPermSalary">'B6'!$G$38</definedName>
    <definedName name="AdjPermVB" localSheetId="0">'EDMA|0001-00'!$I$38</definedName>
    <definedName name="AdjPermVB" localSheetId="1">'EDMA|0348-00'!$I$38</definedName>
    <definedName name="AdjPermVB" localSheetId="2">'EDMA|0349-00'!$I$38</definedName>
    <definedName name="AdjPermVB" localSheetId="3">'EDMA|0481-09'!$I$38</definedName>
    <definedName name="AdjPermVB" localSheetId="4">'EDMB|0450-75'!$I$38</definedName>
    <definedName name="AdjPermVB">'B6'!$I$38</definedName>
    <definedName name="AdjPermVBBY" localSheetId="0">'EDMA|0001-00'!$M$38</definedName>
    <definedName name="AdjPermVBBY" localSheetId="1">'EDMA|0348-00'!$M$38</definedName>
    <definedName name="AdjPermVBBY" localSheetId="2">'EDMA|0349-00'!$M$38</definedName>
    <definedName name="AdjPermVBBY" localSheetId="3">'EDMA|0481-09'!$M$38</definedName>
    <definedName name="AdjPermVBBY" localSheetId="4">'EDMB|0450-75'!$M$38</definedName>
    <definedName name="AdjPermVBBY">'B6'!$M$38</definedName>
    <definedName name="AdjustedTotal" localSheetId="0">'EDMA|0001-00'!$J$16</definedName>
    <definedName name="AdjustedTotal" localSheetId="1">'EDMA|0348-00'!$J$16</definedName>
    <definedName name="AdjustedTotal" localSheetId="2">'EDMA|0349-00'!$J$16</definedName>
    <definedName name="AdjustedTotal" localSheetId="3">'EDMA|0481-09'!$J$16</definedName>
    <definedName name="AdjustedTotal" localSheetId="4">'EDMB|0450-75'!$J$16</definedName>
    <definedName name="AdjustedTotal">'B6'!$J$16</definedName>
    <definedName name="AgencyNum" localSheetId="0">'EDMA|0001-00'!$M$1</definedName>
    <definedName name="AgencyNum" localSheetId="1">'EDMA|0348-00'!$M$1</definedName>
    <definedName name="AgencyNum" localSheetId="2">'EDMA|0349-00'!$M$1</definedName>
    <definedName name="AgencyNum" localSheetId="3">'EDMA|0481-09'!$M$1</definedName>
    <definedName name="AgencyNum" localSheetId="4">'EDMB|0450-75'!$M$1</definedName>
    <definedName name="AgencyNum">'B6'!$M$1</definedName>
    <definedName name="AppropFTP" localSheetId="0">'EDMA|0001-00'!$F$15</definedName>
    <definedName name="AppropFTP" localSheetId="1">'EDMA|0348-00'!$F$15</definedName>
    <definedName name="AppropFTP" localSheetId="2">'EDMA|0349-00'!$F$15</definedName>
    <definedName name="AppropFTP" localSheetId="3">'EDMA|0481-09'!$F$15</definedName>
    <definedName name="AppropFTP" localSheetId="4">'EDMB|0450-75'!$F$15</definedName>
    <definedName name="AppropFTP">'B6'!$F$15</definedName>
    <definedName name="AppropTotal" localSheetId="0">'EDMA|0001-00'!$J$15</definedName>
    <definedName name="AppropTotal" localSheetId="1">'EDMA|0348-00'!$J$15</definedName>
    <definedName name="AppropTotal" localSheetId="2">'EDMA|0349-00'!$J$15</definedName>
    <definedName name="AppropTotal" localSheetId="3">'EDMA|0481-09'!$J$15</definedName>
    <definedName name="AppropTotal" localSheetId="4">'EDMB|0450-75'!$J$15</definedName>
    <definedName name="AppropTotal">'B6'!$J$15</definedName>
    <definedName name="AtZHealth" localSheetId="0">'EDMA|0001-00'!$H$45</definedName>
    <definedName name="AtZHealth" localSheetId="1">'EDMA|0348-00'!$H$45</definedName>
    <definedName name="AtZHealth" localSheetId="2">'EDMA|0349-00'!$H$45</definedName>
    <definedName name="AtZHealth" localSheetId="3">'EDMA|0481-09'!$H$45</definedName>
    <definedName name="AtZHealth" localSheetId="4">'EDMB|0450-75'!$H$45</definedName>
    <definedName name="AtZHealth">'B6'!$H$45</definedName>
    <definedName name="AtZSalary" localSheetId="0">'EDMA|0001-00'!$G$45</definedName>
    <definedName name="AtZSalary" localSheetId="1">'EDMA|0348-00'!$G$45</definedName>
    <definedName name="AtZSalary" localSheetId="2">'EDMA|0349-00'!$G$45</definedName>
    <definedName name="AtZSalary" localSheetId="3">'EDMA|0481-09'!$G$45</definedName>
    <definedName name="AtZSalary" localSheetId="4">'EDMB|0450-75'!$G$45</definedName>
    <definedName name="AtZSalary">'B6'!$G$45</definedName>
    <definedName name="AtZTotal" localSheetId="0">'EDMA|0001-00'!$J$45</definedName>
    <definedName name="AtZTotal" localSheetId="1">'EDMA|0348-00'!$J$45</definedName>
    <definedName name="AtZTotal" localSheetId="2">'EDMA|0349-00'!$J$45</definedName>
    <definedName name="AtZTotal" localSheetId="3">'EDMA|0481-09'!$J$45</definedName>
    <definedName name="AtZTotal" localSheetId="4">'EDMB|0450-75'!$J$45</definedName>
    <definedName name="AtZTotal">'B6'!$J$45</definedName>
    <definedName name="AtZVarBen" localSheetId="0">'EDMA|0001-00'!$I$45</definedName>
    <definedName name="AtZVarBen" localSheetId="1">'EDMA|0348-00'!$I$45</definedName>
    <definedName name="AtZVarBen" localSheetId="2">'EDMA|0349-00'!$I$45</definedName>
    <definedName name="AtZVarBen" localSheetId="3">'EDMA|0481-09'!$I$45</definedName>
    <definedName name="AtZVarBen" localSheetId="4">'EDMB|0450-75'!$I$45</definedName>
    <definedName name="AtZVarBen">'B6'!$I$45</definedName>
    <definedName name="BudgetUnit" localSheetId="0">'EDMA|0001-00'!$M$3</definedName>
    <definedName name="BudgetUnit" localSheetId="1">'EDMA|0348-00'!$M$3</definedName>
    <definedName name="BudgetUnit" localSheetId="2">'EDMA|0349-00'!$M$3</definedName>
    <definedName name="BudgetUnit" localSheetId="3">'EDMA|0481-09'!$M$3</definedName>
    <definedName name="BudgetUnit" localSheetId="4">'EDMB|0450-75'!$M$3</definedName>
    <definedName name="BudgetUnit">'B6'!$M$3</definedName>
    <definedName name="BudgetYear">Benefits!$D$4</definedName>
    <definedName name="CECGroup">Benefits!$C$39</definedName>
    <definedName name="CECOrigElectSalary" localSheetId="0">'EDMA|0001-00'!$G$74</definedName>
    <definedName name="CECOrigElectSalary" localSheetId="1">'EDMA|0348-00'!$G$74</definedName>
    <definedName name="CECOrigElectSalary" localSheetId="2">'EDMA|0349-00'!$G$74</definedName>
    <definedName name="CECOrigElectSalary" localSheetId="3">'EDMA|0481-09'!$G$74</definedName>
    <definedName name="CECOrigElectSalary" localSheetId="4">'EDMB|0450-75'!$G$74</definedName>
    <definedName name="CECOrigElectSalary">'B6'!$G$74</definedName>
    <definedName name="CECOrigElectVB" localSheetId="0">'EDMA|0001-00'!$I$74</definedName>
    <definedName name="CECOrigElectVB" localSheetId="1">'EDMA|0348-00'!$I$74</definedName>
    <definedName name="CECOrigElectVB" localSheetId="2">'EDMA|0349-00'!$I$74</definedName>
    <definedName name="CECOrigElectVB" localSheetId="3">'EDMA|0481-09'!$I$74</definedName>
    <definedName name="CECOrigElectVB" localSheetId="4">'EDMB|0450-75'!$I$74</definedName>
    <definedName name="CECOrigElectVB">'B6'!$I$74</definedName>
    <definedName name="CECOrigGroupSalary" localSheetId="0">'EDMA|0001-00'!$G$73</definedName>
    <definedName name="CECOrigGroupSalary" localSheetId="1">'EDMA|0348-00'!$G$73</definedName>
    <definedName name="CECOrigGroupSalary" localSheetId="2">'EDMA|0349-00'!$G$73</definedName>
    <definedName name="CECOrigGroupSalary" localSheetId="3">'EDMA|0481-09'!$G$73</definedName>
    <definedName name="CECOrigGroupSalary" localSheetId="4">'EDMB|0450-75'!$G$73</definedName>
    <definedName name="CECOrigGroupSalary">'B6'!$G$73</definedName>
    <definedName name="CECOrigGroupVB" localSheetId="0">'EDMA|0001-00'!$I$73</definedName>
    <definedName name="CECOrigGroupVB" localSheetId="1">'EDMA|0348-00'!$I$73</definedName>
    <definedName name="CECOrigGroupVB" localSheetId="2">'EDMA|0349-00'!$I$73</definedName>
    <definedName name="CECOrigGroupVB" localSheetId="3">'EDMA|0481-09'!$I$73</definedName>
    <definedName name="CECOrigGroupVB" localSheetId="4">'EDMB|0450-75'!$I$73</definedName>
    <definedName name="CECOrigGroupVB">'B6'!$I$73</definedName>
    <definedName name="CECOrigPermSalary" localSheetId="0">'EDMA|0001-00'!$G$72</definedName>
    <definedName name="CECOrigPermSalary" localSheetId="1">'EDMA|0348-00'!$G$72</definedName>
    <definedName name="CECOrigPermSalary" localSheetId="2">'EDMA|0349-00'!$G$72</definedName>
    <definedName name="CECOrigPermSalary" localSheetId="3">'EDMA|0481-09'!$G$72</definedName>
    <definedName name="CECOrigPermSalary" localSheetId="4">'EDMB|0450-75'!$G$72</definedName>
    <definedName name="CECOrigPermSalary">'B6'!$G$72</definedName>
    <definedName name="CECOrigPermVB" localSheetId="0">'EDMA|0001-00'!$I$72</definedName>
    <definedName name="CECOrigPermVB" localSheetId="1">'EDMA|0348-00'!$I$72</definedName>
    <definedName name="CECOrigPermVB" localSheetId="2">'EDMA|0349-00'!$I$72</definedName>
    <definedName name="CECOrigPermVB" localSheetId="3">'EDMA|0481-09'!$I$72</definedName>
    <definedName name="CECOrigPermVB" localSheetId="4">'EDMB|0450-75'!$I$72</definedName>
    <definedName name="CECOrigPermVB">'B6'!$I$72</definedName>
    <definedName name="CECPerm">Benefits!$C$38</definedName>
    <definedName name="CECpermCalc" localSheetId="0">'EDMA|0001-00'!$E$72</definedName>
    <definedName name="CECpermCalc" localSheetId="1">'EDMA|0348-00'!$E$72</definedName>
    <definedName name="CECpermCalc" localSheetId="2">'EDMA|0349-00'!$E$72</definedName>
    <definedName name="CECpermCalc" localSheetId="3">'EDMA|0481-09'!$E$72</definedName>
    <definedName name="CECpermCalc" localSheetId="4">'EDMB|0450-75'!$E$72</definedName>
    <definedName name="CECpermCalc">'B6'!$E$72</definedName>
    <definedName name="Department" localSheetId="0">'EDMA|0001-00'!$D$1</definedName>
    <definedName name="Department" localSheetId="1">'EDMA|0348-00'!$D$1</definedName>
    <definedName name="Department" localSheetId="2">'EDMA|0349-00'!$D$1</definedName>
    <definedName name="Department" localSheetId="3">'EDMA|0481-09'!$D$1</definedName>
    <definedName name="Department" localSheetId="4">'EDMB|0450-75'!$D$1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'EDMA|0001-00'!$D$2</definedName>
    <definedName name="Division" localSheetId="1">'EDMA|0348-00'!$D$2</definedName>
    <definedName name="Division" localSheetId="2">'EDMA|0349-00'!$D$2</definedName>
    <definedName name="Division" localSheetId="3">'EDMA|0481-09'!$D$2</definedName>
    <definedName name="Division" localSheetId="4">'EDMB|0450-75'!$D$2</definedName>
    <definedName name="Division">'B6'!$D$2</definedName>
    <definedName name="DUCECElect" localSheetId="0">'EDMA|0001-00'!$J$74</definedName>
    <definedName name="DUCECElect" localSheetId="1">'EDMA|0348-00'!$J$74</definedName>
    <definedName name="DUCECElect" localSheetId="2">'EDMA|0349-00'!$J$74</definedName>
    <definedName name="DUCECElect" localSheetId="3">'EDMA|0481-09'!$J$74</definedName>
    <definedName name="DUCECElect" localSheetId="4">'EDMB|0450-75'!$J$74</definedName>
    <definedName name="DUCECElect">'B6'!$J$74</definedName>
    <definedName name="DUCECGroup" localSheetId="0">'EDMA|0001-00'!$J$73</definedName>
    <definedName name="DUCECGroup" localSheetId="1">'EDMA|0348-00'!$J$73</definedName>
    <definedName name="DUCECGroup" localSheetId="2">'EDMA|0349-00'!$J$73</definedName>
    <definedName name="DUCECGroup" localSheetId="3">'EDMA|0481-09'!$J$73</definedName>
    <definedName name="DUCECGroup" localSheetId="4">'EDMB|0450-75'!$J$73</definedName>
    <definedName name="DUCECGroup">'B6'!$J$73</definedName>
    <definedName name="DUCECPerm" localSheetId="0">'EDMA|0001-00'!$J$72</definedName>
    <definedName name="DUCECPerm" localSheetId="1">'EDMA|0348-00'!$J$72</definedName>
    <definedName name="DUCECPerm" localSheetId="2">'EDMA|0349-00'!$J$72</definedName>
    <definedName name="DUCECPerm" localSheetId="3">'EDMA|0481-09'!$J$72</definedName>
    <definedName name="DUCECPerm" localSheetId="4">'EDMB|0450-75'!$J$72</definedName>
    <definedName name="DUCECPerm">'B6'!$J$72</definedName>
    <definedName name="DUEleven" localSheetId="0">'EDMA|0001-00'!$J$75</definedName>
    <definedName name="DUEleven" localSheetId="1">'EDMA|0348-00'!$J$75</definedName>
    <definedName name="DUEleven" localSheetId="2">'EDMA|0349-00'!$J$75</definedName>
    <definedName name="DUEleven" localSheetId="3">'EDMA|0481-09'!$J$75</definedName>
    <definedName name="DUEleven" localSheetId="4">'EDMB|0450-75'!$J$75</definedName>
    <definedName name="DUEleven">'B6'!$J$75</definedName>
    <definedName name="DUHealthBen" localSheetId="0">'EDMA|0001-00'!$J$68</definedName>
    <definedName name="DUHealthBen" localSheetId="1">'EDMA|0348-00'!$J$68</definedName>
    <definedName name="DUHealthBen" localSheetId="2">'EDMA|0349-00'!$J$68</definedName>
    <definedName name="DUHealthBen" localSheetId="3">'EDMA|0481-09'!$J$68</definedName>
    <definedName name="DUHealthBen" localSheetId="4">'EDMB|0450-75'!$J$68</definedName>
    <definedName name="DUHealthBen">'B6'!$J$68</definedName>
    <definedName name="DUNine" localSheetId="0">'EDMA|0001-00'!$J$67</definedName>
    <definedName name="DUNine" localSheetId="1">'EDMA|0348-00'!$J$67</definedName>
    <definedName name="DUNine" localSheetId="2">'EDMA|0349-00'!$J$67</definedName>
    <definedName name="DUNine" localSheetId="3">'EDMA|0481-09'!$J$67</definedName>
    <definedName name="DUNine" localSheetId="4">'EDMB|0450-75'!$J$67</definedName>
    <definedName name="DUNine">'B6'!$J$67</definedName>
    <definedName name="DUThirteen" localSheetId="0">'EDMA|0001-00'!$J$80</definedName>
    <definedName name="DUThirteen" localSheetId="1">'EDMA|0348-00'!$J$80</definedName>
    <definedName name="DUThirteen" localSheetId="2">'EDMA|0349-00'!$J$80</definedName>
    <definedName name="DUThirteen" localSheetId="3">'EDMA|0481-09'!$J$80</definedName>
    <definedName name="DUThirteen" localSheetId="4">'EDMB|0450-75'!$J$80</definedName>
    <definedName name="DUThirteen">'B6'!$J$80</definedName>
    <definedName name="DUVariableBen" localSheetId="0">'EDMA|0001-00'!$J$69</definedName>
    <definedName name="DUVariableBen" localSheetId="1">'EDMA|0348-00'!$J$69</definedName>
    <definedName name="DUVariableBen" localSheetId="2">'EDMA|0349-00'!$J$69</definedName>
    <definedName name="DUVariableBen" localSheetId="3">'EDMA|0481-09'!$J$69</definedName>
    <definedName name="DUVariableBen" localSheetId="4">'EDMB|0450-75'!$J$69</definedName>
    <definedName name="DUVariableBen">'B6'!$J$69</definedName>
    <definedName name="EDMA000100col_1_27TH_PP">Data!$BA$116</definedName>
    <definedName name="EDMA000100col_DHR">Data!$BI$116</definedName>
    <definedName name="EDMA000100col_DHR_BY">Data!$BU$116</definedName>
    <definedName name="EDMA000100col_DHR_CHG">Data!$CG$116</definedName>
    <definedName name="EDMA000100col_FTI_SALARY_ELECT">Data!$AZ$116</definedName>
    <definedName name="EDMA000100col_FTI_SALARY_PERM">Data!$AY$116</definedName>
    <definedName name="EDMA000100col_FTI_SALARY_SSDI">Data!$AX$116</definedName>
    <definedName name="EDMA000100col_Group_Ben">Data!$CM$116</definedName>
    <definedName name="EDMA000100col_Group_Salary">Data!$CL$116</definedName>
    <definedName name="EDMA000100col_HEALTH_ELECT">Data!$BC$116</definedName>
    <definedName name="EDMA000100col_HEALTH_ELECT_BY">Data!$BO$116</definedName>
    <definedName name="EDMA000100col_HEALTH_ELECT_CHG">Data!$CA$116</definedName>
    <definedName name="EDMA000100col_HEALTH_PERM">Data!$BB$116</definedName>
    <definedName name="EDMA000100col_HEALTH_PERM_BY">Data!$BN$116</definedName>
    <definedName name="EDMA000100col_HEALTH_PERM_CHG">Data!$BZ$116</definedName>
    <definedName name="EDMA000100col_INC_FTI">Data!$AS$116</definedName>
    <definedName name="EDMA000100col_LIFE_INS">Data!$BG$116</definedName>
    <definedName name="EDMA000100col_LIFE_INS_BY">Data!$BS$116</definedName>
    <definedName name="EDMA000100col_LIFE_INS_CHG">Data!$CE$116</definedName>
    <definedName name="EDMA000100col_RETIREMENT">Data!$BF$116</definedName>
    <definedName name="EDMA000100col_RETIREMENT_BY">Data!$BR$116</definedName>
    <definedName name="EDMA000100col_RETIREMENT_CHG">Data!$CD$116</definedName>
    <definedName name="EDMA000100col_ROWS_PER_PCN">Data!$AW$116</definedName>
    <definedName name="EDMA000100col_SICK">Data!$BK$116</definedName>
    <definedName name="EDMA000100col_SICK_BY">Data!$BW$116</definedName>
    <definedName name="EDMA000100col_SICK_CHG">Data!$CI$116</definedName>
    <definedName name="EDMA000100col_SSDI">Data!$BD$116</definedName>
    <definedName name="EDMA000100col_SSDI_BY">Data!$BP$116</definedName>
    <definedName name="EDMA000100col_SSDI_CHG">Data!$CB$116</definedName>
    <definedName name="EDMA000100col_SSHI">Data!$BE$116</definedName>
    <definedName name="EDMA000100col_SSHI_BY">Data!$BQ$116</definedName>
    <definedName name="EDMA000100col_SSHI_CHGv">Data!$CC$116</definedName>
    <definedName name="EDMA000100col_TOT_VB_ELECT">Data!$BM$116</definedName>
    <definedName name="EDMA000100col_TOT_VB_ELECT_BY">Data!$BY$116</definedName>
    <definedName name="EDMA000100col_TOT_VB_ELECT_CHG">Data!$CK$116</definedName>
    <definedName name="EDMA000100col_TOT_VB_PERM">Data!$BL$116</definedName>
    <definedName name="EDMA000100col_TOT_VB_PERM_BY">Data!$BX$116</definedName>
    <definedName name="EDMA000100col_TOT_VB_PERM_CHG">Data!$CJ$116</definedName>
    <definedName name="EDMA000100col_TOTAL_ELECT_PCN_FTI">Data!$AT$116</definedName>
    <definedName name="EDMA000100col_TOTAL_ELECT_PCN_FTI_ALT">Data!$AV$116</definedName>
    <definedName name="EDMA000100col_TOTAL_PERM_PCN_FTI">Data!$AU$116</definedName>
    <definedName name="EDMA000100col_UNEMP_INS">Data!$BH$116</definedName>
    <definedName name="EDMA000100col_UNEMP_INS_BY">Data!$BT$116</definedName>
    <definedName name="EDMA000100col_UNEMP_INS_CHG">Data!$CF$116</definedName>
    <definedName name="EDMA000100col_WORKERS_COMP">Data!$BJ$116</definedName>
    <definedName name="EDMA000100col_WORKERS_COMP_BY">Data!$BV$116</definedName>
    <definedName name="EDMA000100col_WORKERS_COMP_CHG">Data!$CH$116</definedName>
    <definedName name="EDMA034800col_1_27TH_PP">Data!$BA$118</definedName>
    <definedName name="EDMA034800col_DHR">Data!$BI$118</definedName>
    <definedName name="EDMA034800col_DHR_BY">Data!$BU$118</definedName>
    <definedName name="EDMA034800col_DHR_CHG">Data!$CG$118</definedName>
    <definedName name="EDMA034800col_FTI_SALARY_ELECT">Data!$AZ$118</definedName>
    <definedName name="EDMA034800col_FTI_SALARY_PERM">Data!$AY$118</definedName>
    <definedName name="EDMA034800col_FTI_SALARY_SSDI">Data!$AX$118</definedName>
    <definedName name="EDMA034800col_Group_Ben">Data!$CM$118</definedName>
    <definedName name="EDMA034800col_Group_Salary">Data!$CL$118</definedName>
    <definedName name="EDMA034800col_HEALTH_ELECT">Data!$BC$118</definedName>
    <definedName name="EDMA034800col_HEALTH_ELECT_BY">Data!$BO$118</definedName>
    <definedName name="EDMA034800col_HEALTH_ELECT_CHG">Data!$CA$118</definedName>
    <definedName name="EDMA034800col_HEALTH_PERM">Data!$BB$118</definedName>
    <definedName name="EDMA034800col_HEALTH_PERM_BY">Data!$BN$118</definedName>
    <definedName name="EDMA034800col_HEALTH_PERM_CHG">Data!$BZ$118</definedName>
    <definedName name="EDMA034800col_INC_FTI">Data!$AS$118</definedName>
    <definedName name="EDMA034800col_LIFE_INS">Data!$BG$118</definedName>
    <definedName name="EDMA034800col_LIFE_INS_BY">Data!$BS$118</definedName>
    <definedName name="EDMA034800col_LIFE_INS_CHG">Data!$CE$118</definedName>
    <definedName name="EDMA034800col_RETIREMENT">Data!$BF$118</definedName>
    <definedName name="EDMA034800col_RETIREMENT_BY">Data!$BR$118</definedName>
    <definedName name="EDMA034800col_RETIREMENT_CHG">Data!$CD$118</definedName>
    <definedName name="EDMA034800col_ROWS_PER_PCN">Data!$AW$118</definedName>
    <definedName name="EDMA034800col_SICK">Data!$BK$118</definedName>
    <definedName name="EDMA034800col_SICK_BY">Data!$BW$118</definedName>
    <definedName name="EDMA034800col_SICK_CHG">Data!$CI$118</definedName>
    <definedName name="EDMA034800col_SSDI">Data!$BD$118</definedName>
    <definedName name="EDMA034800col_SSDI_BY">Data!$BP$118</definedName>
    <definedName name="EDMA034800col_SSDI_CHG">Data!$CB$118</definedName>
    <definedName name="EDMA034800col_SSHI">Data!$BE$118</definedName>
    <definedName name="EDMA034800col_SSHI_BY">Data!$BQ$118</definedName>
    <definedName name="EDMA034800col_SSHI_CHGv">Data!$CC$118</definedName>
    <definedName name="EDMA034800col_TOT_VB_ELECT">Data!$BM$118</definedName>
    <definedName name="EDMA034800col_TOT_VB_ELECT_BY">Data!$BY$118</definedName>
    <definedName name="EDMA034800col_TOT_VB_ELECT_CHG">Data!$CK$118</definedName>
    <definedName name="EDMA034800col_TOT_VB_PERM">Data!$BL$118</definedName>
    <definedName name="EDMA034800col_TOT_VB_PERM_BY">Data!$BX$118</definedName>
    <definedName name="EDMA034800col_TOT_VB_PERM_CHG">Data!$CJ$118</definedName>
    <definedName name="EDMA034800col_TOTAL_ELECT_PCN_FTI">Data!$AT$118</definedName>
    <definedName name="EDMA034800col_TOTAL_ELECT_PCN_FTI_ALT">Data!$AV$118</definedName>
    <definedName name="EDMA034800col_TOTAL_PERM_PCN_FTI">Data!$AU$118</definedName>
    <definedName name="EDMA034800col_UNEMP_INS">Data!$BH$118</definedName>
    <definedName name="EDMA034800col_UNEMP_INS_BY">Data!$BT$118</definedName>
    <definedName name="EDMA034800col_UNEMP_INS_CHG">Data!$CF$118</definedName>
    <definedName name="EDMA034800col_WORKERS_COMP">Data!$BJ$118</definedName>
    <definedName name="EDMA034800col_WORKERS_COMP_BY">Data!$BV$118</definedName>
    <definedName name="EDMA034800col_WORKERS_COMP_CHG">Data!$CH$118</definedName>
    <definedName name="EDMA034900col_1_27TH_PP">Data!$BA$120</definedName>
    <definedName name="EDMA034900col_DHR">Data!$BI$120</definedName>
    <definedName name="EDMA034900col_DHR_BY">Data!$BU$120</definedName>
    <definedName name="EDMA034900col_DHR_CHG">Data!$CG$120</definedName>
    <definedName name="EDMA034900col_FTI_SALARY_ELECT">Data!$AZ$120</definedName>
    <definedName name="EDMA034900col_FTI_SALARY_PERM">Data!$AY$120</definedName>
    <definedName name="EDMA034900col_FTI_SALARY_SSDI">Data!$AX$120</definedName>
    <definedName name="EDMA034900col_Group_Ben">Data!$CM$120</definedName>
    <definedName name="EDMA034900col_Group_Salary">Data!$CL$120</definedName>
    <definedName name="EDMA034900col_HEALTH_ELECT">Data!$BC$120</definedName>
    <definedName name="EDMA034900col_HEALTH_ELECT_BY">Data!$BO$120</definedName>
    <definedName name="EDMA034900col_HEALTH_ELECT_CHG">Data!$CA$120</definedName>
    <definedName name="EDMA034900col_HEALTH_PERM">Data!$BB$120</definedName>
    <definedName name="EDMA034900col_HEALTH_PERM_BY">Data!$BN$120</definedName>
    <definedName name="EDMA034900col_HEALTH_PERM_CHG">Data!$BZ$120</definedName>
    <definedName name="EDMA034900col_INC_FTI">Data!$AS$120</definedName>
    <definedName name="EDMA034900col_LIFE_INS">Data!$BG$120</definedName>
    <definedName name="EDMA034900col_LIFE_INS_BY">Data!$BS$120</definedName>
    <definedName name="EDMA034900col_LIFE_INS_CHG">Data!$CE$120</definedName>
    <definedName name="EDMA034900col_RETIREMENT">Data!$BF$120</definedName>
    <definedName name="EDMA034900col_RETIREMENT_BY">Data!$BR$120</definedName>
    <definedName name="EDMA034900col_RETIREMENT_CHG">Data!$CD$120</definedName>
    <definedName name="EDMA034900col_ROWS_PER_PCN">Data!$AW$120</definedName>
    <definedName name="EDMA034900col_SICK">Data!$BK$120</definedName>
    <definedName name="EDMA034900col_SICK_BY">Data!$BW$120</definedName>
    <definedName name="EDMA034900col_SICK_CHG">Data!$CI$120</definedName>
    <definedName name="EDMA034900col_SSDI">Data!$BD$120</definedName>
    <definedName name="EDMA034900col_SSDI_BY">Data!$BP$120</definedName>
    <definedName name="EDMA034900col_SSDI_CHG">Data!$CB$120</definedName>
    <definedName name="EDMA034900col_SSHI">Data!$BE$120</definedName>
    <definedName name="EDMA034900col_SSHI_BY">Data!$BQ$120</definedName>
    <definedName name="EDMA034900col_SSHI_CHGv">Data!$CC$120</definedName>
    <definedName name="EDMA034900col_TOT_VB_ELECT">Data!$BM$120</definedName>
    <definedName name="EDMA034900col_TOT_VB_ELECT_BY">Data!$BY$120</definedName>
    <definedName name="EDMA034900col_TOT_VB_ELECT_CHG">Data!$CK$120</definedName>
    <definedName name="EDMA034900col_TOT_VB_PERM">Data!$BL$120</definedName>
    <definedName name="EDMA034900col_TOT_VB_PERM_BY">Data!$BX$120</definedName>
    <definedName name="EDMA034900col_TOT_VB_PERM_CHG">Data!$CJ$120</definedName>
    <definedName name="EDMA034900col_TOTAL_ELECT_PCN_FTI">Data!$AT$120</definedName>
    <definedName name="EDMA034900col_TOTAL_ELECT_PCN_FTI_ALT">Data!$AV$120</definedName>
    <definedName name="EDMA034900col_TOTAL_PERM_PCN_FTI">Data!$AU$120</definedName>
    <definedName name="EDMA034900col_UNEMP_INS">Data!$BH$120</definedName>
    <definedName name="EDMA034900col_UNEMP_INS_BY">Data!$BT$120</definedName>
    <definedName name="EDMA034900col_UNEMP_INS_CHG">Data!$CF$120</definedName>
    <definedName name="EDMA034900col_WORKERS_COMP">Data!$BJ$120</definedName>
    <definedName name="EDMA034900col_WORKERS_COMP_BY">Data!$BV$120</definedName>
    <definedName name="EDMA034900col_WORKERS_COMP_CHG">Data!$CH$120</definedName>
    <definedName name="EDMA048109col_1_27TH_PP">Data!$BA$122</definedName>
    <definedName name="EDMA048109col_DHR">Data!$BI$122</definedName>
    <definedName name="EDMA048109col_DHR_BY">Data!$BU$122</definedName>
    <definedName name="EDMA048109col_DHR_CHG">Data!$CG$122</definedName>
    <definedName name="EDMA048109col_FTI_SALARY_ELECT">Data!$AZ$122</definedName>
    <definedName name="EDMA048109col_FTI_SALARY_PERM">Data!$AY$122</definedName>
    <definedName name="EDMA048109col_FTI_SALARY_SSDI">Data!$AX$122</definedName>
    <definedName name="EDMA048109col_Group_Ben">Data!$CM$122</definedName>
    <definedName name="EDMA048109col_Group_Salary">Data!$CL$122</definedName>
    <definedName name="EDMA048109col_HEALTH_ELECT">Data!$BC$122</definedName>
    <definedName name="EDMA048109col_HEALTH_ELECT_BY">Data!$BO$122</definedName>
    <definedName name="EDMA048109col_HEALTH_ELECT_CHG">Data!$CA$122</definedName>
    <definedName name="EDMA048109col_HEALTH_PERM">Data!$BB$122</definedName>
    <definedName name="EDMA048109col_HEALTH_PERM_BY">Data!$BN$122</definedName>
    <definedName name="EDMA048109col_HEALTH_PERM_CHG">Data!$BZ$122</definedName>
    <definedName name="EDMA048109col_INC_FTI">Data!$AS$122</definedName>
    <definedName name="EDMA048109col_LIFE_INS">Data!$BG$122</definedName>
    <definedName name="EDMA048109col_LIFE_INS_BY">Data!$BS$122</definedName>
    <definedName name="EDMA048109col_LIFE_INS_CHG">Data!$CE$122</definedName>
    <definedName name="EDMA048109col_RETIREMENT">Data!$BF$122</definedName>
    <definedName name="EDMA048109col_RETIREMENT_BY">Data!$BR$122</definedName>
    <definedName name="EDMA048109col_RETIREMENT_CHG">Data!$CD$122</definedName>
    <definedName name="EDMA048109col_ROWS_PER_PCN">Data!$AW$122</definedName>
    <definedName name="EDMA048109col_SICK">Data!$BK$122</definedName>
    <definedName name="EDMA048109col_SICK_BY">Data!$BW$122</definedName>
    <definedName name="EDMA048109col_SICK_CHG">Data!$CI$122</definedName>
    <definedName name="EDMA048109col_SSDI">Data!$BD$122</definedName>
    <definedName name="EDMA048109col_SSDI_BY">Data!$BP$122</definedName>
    <definedName name="EDMA048109col_SSDI_CHG">Data!$CB$122</definedName>
    <definedName name="EDMA048109col_SSHI">Data!$BE$122</definedName>
    <definedName name="EDMA048109col_SSHI_BY">Data!$BQ$122</definedName>
    <definedName name="EDMA048109col_SSHI_CHGv">Data!$CC$122</definedName>
    <definedName name="EDMA048109col_TOT_VB_ELECT">Data!$BM$122</definedName>
    <definedName name="EDMA048109col_TOT_VB_ELECT_BY">Data!$BY$122</definedName>
    <definedName name="EDMA048109col_TOT_VB_ELECT_CHG">Data!$CK$122</definedName>
    <definedName name="EDMA048109col_TOT_VB_PERM">Data!$BL$122</definedName>
    <definedName name="EDMA048109col_TOT_VB_PERM_BY">Data!$BX$122</definedName>
    <definedName name="EDMA048109col_TOT_VB_PERM_CHG">Data!$CJ$122</definedName>
    <definedName name="EDMA048109col_TOTAL_ELECT_PCN_FTI">Data!$AT$122</definedName>
    <definedName name="EDMA048109col_TOTAL_ELECT_PCN_FTI_ALT">Data!$AV$122</definedName>
    <definedName name="EDMA048109col_TOTAL_PERM_PCN_FTI">Data!$AU$122</definedName>
    <definedName name="EDMA048109col_UNEMP_INS">Data!$BH$122</definedName>
    <definedName name="EDMA048109col_UNEMP_INS_BY">Data!$BT$122</definedName>
    <definedName name="EDMA048109col_UNEMP_INS_CHG">Data!$CF$122</definedName>
    <definedName name="EDMA048109col_WORKERS_COMP">Data!$BJ$122</definedName>
    <definedName name="EDMA048109col_WORKERS_COMP_BY">Data!$BV$122</definedName>
    <definedName name="EDMA048109col_WORKERS_COMP_CHG">Data!$CH$122</definedName>
    <definedName name="EDMB034900col_1_27TH_PP">Data!#REF!</definedName>
    <definedName name="EDMB034900col_DHR">Data!#REF!</definedName>
    <definedName name="EDMB034900col_DHR_BY">Data!#REF!</definedName>
    <definedName name="EDMB034900col_DHR_CHG">Data!#REF!</definedName>
    <definedName name="EDMB034900col_FTI_SALARY_ELECT">Data!#REF!</definedName>
    <definedName name="EDMB034900col_FTI_SALARY_PERM">Data!#REF!</definedName>
    <definedName name="EDMB034900col_FTI_SALARY_SSDI">Data!#REF!</definedName>
    <definedName name="EDMB034900col_Group_Ben">Data!#REF!</definedName>
    <definedName name="EDMB034900col_Group_Salary">Data!#REF!</definedName>
    <definedName name="EDMB034900col_HEALTH_ELECT">Data!#REF!</definedName>
    <definedName name="EDMB034900col_HEALTH_ELECT_BY">Data!#REF!</definedName>
    <definedName name="EDMB034900col_HEALTH_ELECT_CHG">Data!#REF!</definedName>
    <definedName name="EDMB034900col_HEALTH_PERM">Data!#REF!</definedName>
    <definedName name="EDMB034900col_HEALTH_PERM_BY">Data!#REF!</definedName>
    <definedName name="EDMB034900col_HEALTH_PERM_CHG">Data!#REF!</definedName>
    <definedName name="EDMB034900col_INC_FTI">Data!#REF!</definedName>
    <definedName name="EDMB034900col_LIFE_INS">Data!#REF!</definedName>
    <definedName name="EDMB034900col_LIFE_INS_BY">Data!#REF!</definedName>
    <definedName name="EDMB034900col_LIFE_INS_CHG">Data!#REF!</definedName>
    <definedName name="EDMB034900col_RETIREMENT">Data!#REF!</definedName>
    <definedName name="EDMB034900col_RETIREMENT_BY">Data!#REF!</definedName>
    <definedName name="EDMB034900col_RETIREMENT_CHG">Data!#REF!</definedName>
    <definedName name="EDMB034900col_ROWS_PER_PCN">Data!#REF!</definedName>
    <definedName name="EDMB034900col_SICK">Data!#REF!</definedName>
    <definedName name="EDMB034900col_SICK_BY">Data!#REF!</definedName>
    <definedName name="EDMB034900col_SICK_CHG">Data!#REF!</definedName>
    <definedName name="EDMB034900col_SSDI">Data!#REF!</definedName>
    <definedName name="EDMB034900col_SSDI_BY">Data!#REF!</definedName>
    <definedName name="EDMB034900col_SSDI_CHG">Data!#REF!</definedName>
    <definedName name="EDMB034900col_SSHI">Data!#REF!</definedName>
    <definedName name="EDMB034900col_SSHI_BY">Data!#REF!</definedName>
    <definedName name="EDMB034900col_SSHI_CHGv">Data!#REF!</definedName>
    <definedName name="EDMB034900col_TOT_VB_ELECT">Data!#REF!</definedName>
    <definedName name="EDMB034900col_TOT_VB_ELECT_BY">Data!#REF!</definedName>
    <definedName name="EDMB034900col_TOT_VB_ELECT_CHG">Data!#REF!</definedName>
    <definedName name="EDMB034900col_TOT_VB_PERM">Data!#REF!</definedName>
    <definedName name="EDMB034900col_TOT_VB_PERM_BY">Data!#REF!</definedName>
    <definedName name="EDMB034900col_TOT_VB_PERM_CHG">Data!#REF!</definedName>
    <definedName name="EDMB034900col_TOTAL_ELECT_PCN_FTI">Data!#REF!</definedName>
    <definedName name="EDMB034900col_TOTAL_ELECT_PCN_FTI_ALT">Data!#REF!</definedName>
    <definedName name="EDMB034900col_TOTAL_PERM_PCN_FTI">Data!#REF!</definedName>
    <definedName name="EDMB034900col_UNEMP_INS">Data!#REF!</definedName>
    <definedName name="EDMB034900col_UNEMP_INS_BY">Data!#REF!</definedName>
    <definedName name="EDMB034900col_UNEMP_INS_CHG">Data!#REF!</definedName>
    <definedName name="EDMB034900col_WORKERS_COMP">Data!#REF!</definedName>
    <definedName name="EDMB034900col_WORKERS_COMP_BY">Data!#REF!</definedName>
    <definedName name="EDMB034900col_WORKERS_COMP_CHG">Data!#REF!</definedName>
    <definedName name="EDMB045075col_1_27TH_PP">Data!$BA$124</definedName>
    <definedName name="EDMB045075col_DHR">Data!$BI$124</definedName>
    <definedName name="EDMB045075col_DHR_BY">Data!$BU$124</definedName>
    <definedName name="EDMB045075col_DHR_CHG">Data!$CG$124</definedName>
    <definedName name="EDMB045075col_FTI_SALARY_ELECT">Data!$AZ$124</definedName>
    <definedName name="EDMB045075col_FTI_SALARY_PERM">Data!$AY$124</definedName>
    <definedName name="EDMB045075col_FTI_SALARY_SSDI">Data!$AX$124</definedName>
    <definedName name="EDMB045075col_Group_Ben">Data!$CM$124</definedName>
    <definedName name="EDMB045075col_Group_Salary">Data!$CL$124</definedName>
    <definedName name="EDMB045075col_HEALTH_ELECT">Data!$BC$124</definedName>
    <definedName name="EDMB045075col_HEALTH_ELECT_BY">Data!$BO$124</definedName>
    <definedName name="EDMB045075col_HEALTH_ELECT_CHG">Data!$CA$124</definedName>
    <definedName name="EDMB045075col_HEALTH_PERM">Data!$BB$124</definedName>
    <definedName name="EDMB045075col_HEALTH_PERM_BY">Data!$BN$124</definedName>
    <definedName name="EDMB045075col_HEALTH_PERM_CHG">Data!$BZ$124</definedName>
    <definedName name="EDMB045075col_INC_FTI">Data!$AS$124</definedName>
    <definedName name="EDMB045075col_LIFE_INS">Data!$BG$124</definedName>
    <definedName name="EDMB045075col_LIFE_INS_BY">Data!$BS$124</definedName>
    <definedName name="EDMB045075col_LIFE_INS_CHG">Data!$CE$124</definedName>
    <definedName name="EDMB045075col_RETIREMENT">Data!$BF$124</definedName>
    <definedName name="EDMB045075col_RETIREMENT_BY">Data!$BR$124</definedName>
    <definedName name="EDMB045075col_RETIREMENT_CHG">Data!$CD$124</definedName>
    <definedName name="EDMB045075col_ROWS_PER_PCN">Data!$AW$124</definedName>
    <definedName name="EDMB045075col_SICK">Data!$BK$124</definedName>
    <definedName name="EDMB045075col_SICK_BY">Data!$BW$124</definedName>
    <definedName name="EDMB045075col_SICK_CHG">Data!$CI$124</definedName>
    <definedName name="EDMB045075col_SSDI">Data!$BD$124</definedName>
    <definedName name="EDMB045075col_SSDI_BY">Data!$BP$124</definedName>
    <definedName name="EDMB045075col_SSDI_CHG">Data!$CB$124</definedName>
    <definedName name="EDMB045075col_SSHI">Data!$BE$124</definedName>
    <definedName name="EDMB045075col_SSHI_BY">Data!$BQ$124</definedName>
    <definedName name="EDMB045075col_SSHI_CHGv">Data!$CC$124</definedName>
    <definedName name="EDMB045075col_TOT_VB_ELECT">Data!$BM$124</definedName>
    <definedName name="EDMB045075col_TOT_VB_ELECT_BY">Data!$BY$124</definedName>
    <definedName name="EDMB045075col_TOT_VB_ELECT_CHG">Data!$CK$124</definedName>
    <definedName name="EDMB045075col_TOT_VB_PERM">Data!$BL$124</definedName>
    <definedName name="EDMB045075col_TOT_VB_PERM_BY">Data!$BX$124</definedName>
    <definedName name="EDMB045075col_TOT_VB_PERM_CHG">Data!$CJ$124</definedName>
    <definedName name="EDMB045075col_TOTAL_ELECT_PCN_FTI">Data!$AT$124</definedName>
    <definedName name="EDMB045075col_TOTAL_ELECT_PCN_FTI_ALT">Data!$AV$124</definedName>
    <definedName name="EDMB045075col_TOTAL_PERM_PCN_FTI">Data!$AU$124</definedName>
    <definedName name="EDMB045075col_UNEMP_INS">Data!$BH$124</definedName>
    <definedName name="EDMB045075col_UNEMP_INS_BY">Data!$BT$124</definedName>
    <definedName name="EDMB045075col_UNEMP_INS_CHG">Data!$CF$124</definedName>
    <definedName name="EDMB045075col_WORKERS_COMP">Data!$BJ$124</definedName>
    <definedName name="EDMB045075col_WORKERS_COMP_BY">Data!$BV$124</definedName>
    <definedName name="EDMB045075col_WORKERS_COMP_CHG">Data!$CH$124</definedName>
    <definedName name="EDMD034900col_1_27TH_PP">Data!#REF!</definedName>
    <definedName name="EDMD034900col_DHR">Data!#REF!</definedName>
    <definedName name="EDMD034900col_DHR_BY">Data!#REF!</definedName>
    <definedName name="EDMD034900col_DHR_CHG">Data!#REF!</definedName>
    <definedName name="EDMD034900col_FTI_SALARY_ELECT">Data!#REF!</definedName>
    <definedName name="EDMD034900col_FTI_SALARY_PERM">Data!#REF!</definedName>
    <definedName name="EDMD034900col_FTI_SALARY_SSDI">Data!#REF!</definedName>
    <definedName name="EDMD034900col_Group_Ben">Data!#REF!</definedName>
    <definedName name="EDMD034900col_Group_Salary">Data!#REF!</definedName>
    <definedName name="EDMD034900col_HEALTH_ELECT">Data!#REF!</definedName>
    <definedName name="EDMD034900col_HEALTH_ELECT_BY">Data!#REF!</definedName>
    <definedName name="EDMD034900col_HEALTH_ELECT_CHG">Data!#REF!</definedName>
    <definedName name="EDMD034900col_HEALTH_PERM">Data!#REF!</definedName>
    <definedName name="EDMD034900col_HEALTH_PERM_BY">Data!#REF!</definedName>
    <definedName name="EDMD034900col_HEALTH_PERM_CHG">Data!#REF!</definedName>
    <definedName name="EDMD034900col_INC_FTI">Data!#REF!</definedName>
    <definedName name="EDMD034900col_LIFE_INS">Data!#REF!</definedName>
    <definedName name="EDMD034900col_LIFE_INS_BY">Data!#REF!</definedName>
    <definedName name="EDMD034900col_LIFE_INS_CHG">Data!#REF!</definedName>
    <definedName name="EDMD034900col_RETIREMENT">Data!#REF!</definedName>
    <definedName name="EDMD034900col_RETIREMENT_BY">Data!#REF!</definedName>
    <definedName name="EDMD034900col_RETIREMENT_CHG">Data!#REF!</definedName>
    <definedName name="EDMD034900col_ROWS_PER_PCN">Data!#REF!</definedName>
    <definedName name="EDMD034900col_SICK">Data!#REF!</definedName>
    <definedName name="EDMD034900col_SICK_BY">Data!#REF!</definedName>
    <definedName name="EDMD034900col_SICK_CHG">Data!#REF!</definedName>
    <definedName name="EDMD034900col_SSDI">Data!#REF!</definedName>
    <definedName name="EDMD034900col_SSDI_BY">Data!#REF!</definedName>
    <definedName name="EDMD034900col_SSDI_CHG">Data!#REF!</definedName>
    <definedName name="EDMD034900col_SSHI">Data!#REF!</definedName>
    <definedName name="EDMD034900col_SSHI_BY">Data!#REF!</definedName>
    <definedName name="EDMD034900col_SSHI_CHGv">Data!#REF!</definedName>
    <definedName name="EDMD034900col_TOT_VB_ELECT">Data!#REF!</definedName>
    <definedName name="EDMD034900col_TOT_VB_ELECT_BY">Data!#REF!</definedName>
    <definedName name="EDMD034900col_TOT_VB_ELECT_CHG">Data!#REF!</definedName>
    <definedName name="EDMD034900col_TOT_VB_PERM">Data!#REF!</definedName>
    <definedName name="EDMD034900col_TOT_VB_PERM_BY">Data!#REF!</definedName>
    <definedName name="EDMD034900col_TOT_VB_PERM_CHG">Data!#REF!</definedName>
    <definedName name="EDMD034900col_TOTAL_ELECT_PCN_FTI">Data!#REF!</definedName>
    <definedName name="EDMD034900col_TOTAL_ELECT_PCN_FTI_ALT">Data!#REF!</definedName>
    <definedName name="EDMD034900col_TOTAL_PERM_PCN_FTI">Data!#REF!</definedName>
    <definedName name="EDMD034900col_UNEMP_INS">Data!#REF!</definedName>
    <definedName name="EDMD034900col_UNEMP_INS_BY">Data!#REF!</definedName>
    <definedName name="EDMD034900col_UNEMP_INS_CHG">Data!#REF!</definedName>
    <definedName name="EDMD034900col_WORKERS_COMP">Data!#REF!</definedName>
    <definedName name="EDMD034900col_WORKERS_COMP_BY">Data!#REF!</definedName>
    <definedName name="EDMD034900col_WORKERS_COMP_CHG">Data!#REF!</definedName>
    <definedName name="Elect_chg_health" localSheetId="0">'EDMA|0001-00'!$L$12</definedName>
    <definedName name="Elect_chg_health" localSheetId="1">'EDMA|0348-00'!$L$12</definedName>
    <definedName name="Elect_chg_health" localSheetId="2">'EDMA|0349-00'!$L$12</definedName>
    <definedName name="Elect_chg_health" localSheetId="3">'EDMA|0481-09'!$L$12</definedName>
    <definedName name="Elect_chg_health" localSheetId="4">'EDMB|0450-75'!$L$12</definedName>
    <definedName name="Elect_chg_health">'B6'!$L$12</definedName>
    <definedName name="Elect_chg_Var" localSheetId="0">'EDMA|0001-00'!$M$12</definedName>
    <definedName name="Elect_chg_Var" localSheetId="1">'EDMA|0348-00'!$M$12</definedName>
    <definedName name="Elect_chg_Var" localSheetId="2">'EDMA|0349-00'!$M$12</definedName>
    <definedName name="Elect_chg_Var" localSheetId="3">'EDMA|0481-09'!$M$12</definedName>
    <definedName name="Elect_chg_Var" localSheetId="4">'EDMB|0450-75'!$M$12</definedName>
    <definedName name="Elect_chg_Var">'B6'!$M$12</definedName>
    <definedName name="elect_FTP" localSheetId="0">'EDMA|0001-00'!$F$12</definedName>
    <definedName name="elect_FTP" localSheetId="1">'EDMA|0348-00'!$F$12</definedName>
    <definedName name="elect_FTP" localSheetId="2">'EDMA|0349-00'!$F$12</definedName>
    <definedName name="elect_FTP" localSheetId="3">'EDMA|0481-09'!$F$12</definedName>
    <definedName name="elect_FTP" localSheetId="4">'EDMB|0450-75'!$F$12</definedName>
    <definedName name="elect_FTP">'B6'!$F$12</definedName>
    <definedName name="Elect_health" localSheetId="0">'EDMA|0001-00'!$H$12</definedName>
    <definedName name="Elect_health" localSheetId="1">'EDMA|0348-00'!$H$12</definedName>
    <definedName name="Elect_health" localSheetId="2">'EDMA|0349-00'!$H$12</definedName>
    <definedName name="Elect_health" localSheetId="3">'EDMA|0481-09'!$H$12</definedName>
    <definedName name="Elect_health" localSheetId="4">'EDMB|0450-75'!$H$12</definedName>
    <definedName name="Elect_health">'B6'!$H$12</definedName>
    <definedName name="Elect_name" localSheetId="0">'EDMA|0001-00'!$C$12</definedName>
    <definedName name="Elect_name" localSheetId="1">'EDMA|0348-00'!$C$12</definedName>
    <definedName name="Elect_name" localSheetId="2">'EDMA|0349-00'!$C$12</definedName>
    <definedName name="Elect_name" localSheetId="3">'EDMA|0481-09'!$C$12</definedName>
    <definedName name="Elect_name" localSheetId="4">'EDMB|0450-75'!$C$12</definedName>
    <definedName name="Elect_name">'B6'!$C$12</definedName>
    <definedName name="Elect_salary" localSheetId="0">'EDMA|0001-00'!$G$12</definedName>
    <definedName name="Elect_salary" localSheetId="1">'EDMA|0348-00'!$G$12</definedName>
    <definedName name="Elect_salary" localSheetId="2">'EDMA|0349-00'!$G$12</definedName>
    <definedName name="Elect_salary" localSheetId="3">'EDMA|0481-09'!$G$12</definedName>
    <definedName name="Elect_salary" localSheetId="4">'EDMB|0450-75'!$G$12</definedName>
    <definedName name="Elect_salary">'B6'!$G$12</definedName>
    <definedName name="Elect_Var" localSheetId="0">'EDMA|0001-00'!$I$12</definedName>
    <definedName name="Elect_Var" localSheetId="1">'EDMA|0348-00'!$I$12</definedName>
    <definedName name="Elect_Var" localSheetId="2">'EDMA|0349-00'!$I$12</definedName>
    <definedName name="Elect_Var" localSheetId="3">'EDMA|0481-09'!$I$12</definedName>
    <definedName name="Elect_Var" localSheetId="4">'EDMB|0450-75'!$I$12</definedName>
    <definedName name="Elect_Var">'B6'!$I$12</definedName>
    <definedName name="Elect_VarBen" localSheetId="0">'EDMA|0001-00'!$I$12</definedName>
    <definedName name="Elect_VarBen" localSheetId="1">'EDMA|0348-00'!$I$12</definedName>
    <definedName name="Elect_VarBen" localSheetId="2">'EDMA|0349-00'!$I$12</definedName>
    <definedName name="Elect_VarBen" localSheetId="3">'EDMA|0481-09'!$I$12</definedName>
    <definedName name="Elect_VarBen" localSheetId="4">'EDMB|0450-75'!$I$12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'EDMA|0001-00'!#REF!</definedName>
    <definedName name="FillRateAvg_B6" localSheetId="1">'EDMA|0348-00'!#REF!</definedName>
    <definedName name="FillRateAvg_B6" localSheetId="2">'EDMA|0349-00'!#REF!</definedName>
    <definedName name="FillRateAvg_B6" localSheetId="3">'EDMA|0481-09'!#REF!</definedName>
    <definedName name="FillRateAvg_B6" localSheetId="4">'EDMB|0450-75'!#REF!</definedName>
    <definedName name="FillRateAvg_B6">'B6'!#REF!</definedName>
    <definedName name="FiscalYear" localSheetId="0">'EDMA|0001-00'!$M$4</definedName>
    <definedName name="FiscalYear" localSheetId="1">'EDMA|0348-00'!$M$4</definedName>
    <definedName name="FiscalYear" localSheetId="2">'EDMA|0349-00'!$M$4</definedName>
    <definedName name="FiscalYear" localSheetId="3">'EDMA|0481-09'!$M$4</definedName>
    <definedName name="FiscalYear" localSheetId="4">'EDMB|0450-75'!$M$4</definedName>
    <definedName name="FiscalYear">'B6'!$M$4</definedName>
    <definedName name="FundName" localSheetId="0">'EDMA|0001-00'!$I$5</definedName>
    <definedName name="FundName" localSheetId="1">'EDMA|0348-00'!$I$5</definedName>
    <definedName name="FundName" localSheetId="2">'EDMA|0349-00'!$I$5</definedName>
    <definedName name="FundName" localSheetId="3">'EDMA|0481-09'!$I$5</definedName>
    <definedName name="FundName" localSheetId="4">'EDMB|0450-75'!$I$5</definedName>
    <definedName name="FundName">'B6'!$I$5</definedName>
    <definedName name="FundNum" localSheetId="0">'EDMA|0001-00'!$N$5</definedName>
    <definedName name="FundNum" localSheetId="1">'EDMA|0348-00'!$N$5</definedName>
    <definedName name="FundNum" localSheetId="2">'EDMA|0349-00'!$N$5</definedName>
    <definedName name="FundNum" localSheetId="3">'EDMA|0481-09'!$N$5</definedName>
    <definedName name="FundNum" localSheetId="4">'EDMB|0450-75'!$N$5</definedName>
    <definedName name="FundNum">'B6'!$N$5</definedName>
    <definedName name="FundNumber" localSheetId="0">'EDMA|0001-00'!$N$5</definedName>
    <definedName name="FundNumber" localSheetId="1">'EDMA|0348-00'!$N$5</definedName>
    <definedName name="FundNumber" localSheetId="2">'EDMA|0349-00'!$N$5</definedName>
    <definedName name="FundNumber" localSheetId="3">'EDMA|0481-09'!$N$5</definedName>
    <definedName name="FundNumber" localSheetId="4">'EDMB|0450-75'!$N$5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'EDMA|0001-00'!$C$11</definedName>
    <definedName name="Group_name" localSheetId="1">'EDMA|0348-00'!$C$11</definedName>
    <definedName name="Group_name" localSheetId="2">'EDMA|0349-00'!$C$11</definedName>
    <definedName name="Group_name" localSheetId="3">'EDMA|0481-09'!$C$11</definedName>
    <definedName name="Group_name" localSheetId="4">'EDMB|0450-75'!$C$11</definedName>
    <definedName name="Group_name">'B6'!$C$11</definedName>
    <definedName name="GroupFxdBen" localSheetId="0">'EDMA|0001-00'!$H$11</definedName>
    <definedName name="GroupFxdBen" localSheetId="1">'EDMA|0348-00'!$H$11</definedName>
    <definedName name="GroupFxdBen" localSheetId="2">'EDMA|0349-00'!$H$11</definedName>
    <definedName name="GroupFxdBen" localSheetId="3">'EDMA|0481-09'!$H$11</definedName>
    <definedName name="GroupFxdBen" localSheetId="4">'EDMB|0450-75'!$H$11</definedName>
    <definedName name="GroupFxdBen">'B6'!$H$11</definedName>
    <definedName name="GroupSalary" localSheetId="0">'EDMA|0001-00'!$G$11</definedName>
    <definedName name="GroupSalary" localSheetId="1">'EDMA|0348-00'!$G$11</definedName>
    <definedName name="GroupSalary" localSheetId="2">'EDMA|0349-00'!$G$11</definedName>
    <definedName name="GroupSalary" localSheetId="3">'EDMA|0481-09'!$G$11</definedName>
    <definedName name="GroupSalary" localSheetId="4">'EDMB|0450-75'!$G$11</definedName>
    <definedName name="GroupSalary">'B6'!$G$11</definedName>
    <definedName name="GroupVarBen" localSheetId="0">'EDMA|0001-00'!$I$11</definedName>
    <definedName name="GroupVarBen" localSheetId="1">'EDMA|0348-00'!$I$11</definedName>
    <definedName name="GroupVarBen" localSheetId="2">'EDMA|0349-00'!$I$11</definedName>
    <definedName name="GroupVarBen" localSheetId="3">'EDMA|0481-09'!$I$11</definedName>
    <definedName name="GroupVarBen" localSheetId="4">'EDMB|0450-75'!$I$11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'EDMA|0001-00'!$M$2</definedName>
    <definedName name="LUMAFund" localSheetId="1">'EDMA|0348-00'!$M$2</definedName>
    <definedName name="LUMAFund" localSheetId="2">'EDMA|0349-00'!$M$2</definedName>
    <definedName name="LUMAFund" localSheetId="3">'EDMA|0481-09'!$M$2</definedName>
    <definedName name="LUMAFund" localSheetId="4">'EDMB|0450-75'!$M$2</definedName>
    <definedName name="LUMAFund">'B6'!$M$2</definedName>
    <definedName name="MAXSSDI">Benefits!$F$5</definedName>
    <definedName name="MAXSSDIBY">Benefits!$G$5</definedName>
    <definedName name="NEW_AdjGroup" localSheetId="0">'EDMA|0001-00'!$AC$39</definedName>
    <definedName name="NEW_AdjGroup" localSheetId="1">'EDMA|0348-00'!$AC$39</definedName>
    <definedName name="NEW_AdjGroup" localSheetId="2">'EDMA|0349-00'!$AC$39</definedName>
    <definedName name="NEW_AdjGroup" localSheetId="3">'EDMA|0481-09'!$AC$39</definedName>
    <definedName name="NEW_AdjGroup" localSheetId="4">'EDMB|0450-75'!$AC$39</definedName>
    <definedName name="NEW_AdjGroup">'B6'!$AC$39</definedName>
    <definedName name="NEW_AdjGroupSalary" localSheetId="0">'EDMA|0001-00'!$AA$39</definedName>
    <definedName name="NEW_AdjGroupSalary" localSheetId="1">'EDMA|0348-00'!$AA$39</definedName>
    <definedName name="NEW_AdjGroupSalary" localSheetId="2">'EDMA|0349-00'!$AA$39</definedName>
    <definedName name="NEW_AdjGroupSalary" localSheetId="3">'EDMA|0481-09'!$AA$39</definedName>
    <definedName name="NEW_AdjGroupSalary" localSheetId="4">'EDMB|0450-75'!$AA$39</definedName>
    <definedName name="NEW_AdjGroupSalary">'B6'!$AA$39</definedName>
    <definedName name="NEW_AdjGroupVB" localSheetId="0">'EDMA|0001-00'!$AB$39</definedName>
    <definedName name="NEW_AdjGroupVB" localSheetId="1">'EDMA|0348-00'!$AB$39</definedName>
    <definedName name="NEW_AdjGroupVB" localSheetId="2">'EDMA|0349-00'!$AB$39</definedName>
    <definedName name="NEW_AdjGroupVB" localSheetId="3">'EDMA|0481-09'!$AB$39</definedName>
    <definedName name="NEW_AdjGroupVB" localSheetId="4">'EDMB|0450-75'!$AB$39</definedName>
    <definedName name="NEW_AdjGroupVB">'B6'!$AB$39</definedName>
    <definedName name="NEW_AdjONLYGroup" localSheetId="0">'EDMA|0001-00'!$AC$45</definedName>
    <definedName name="NEW_AdjONLYGroup" localSheetId="1">'EDMA|0348-00'!$AC$45</definedName>
    <definedName name="NEW_AdjONLYGroup" localSheetId="2">'EDMA|0349-00'!$AC$45</definedName>
    <definedName name="NEW_AdjONLYGroup" localSheetId="3">'EDMA|0481-09'!$AC$45</definedName>
    <definedName name="NEW_AdjONLYGroup" localSheetId="4">'EDMB|0450-75'!$AC$45</definedName>
    <definedName name="NEW_AdjONLYGroup">'B6'!$AC$45</definedName>
    <definedName name="NEW_AdjONLYGroupSalary" localSheetId="0">'EDMA|0001-00'!$AA$45</definedName>
    <definedName name="NEW_AdjONLYGroupSalary" localSheetId="1">'EDMA|0348-00'!$AA$45</definedName>
    <definedName name="NEW_AdjONLYGroupSalary" localSheetId="2">'EDMA|0349-00'!$AA$45</definedName>
    <definedName name="NEW_AdjONLYGroupSalary" localSheetId="3">'EDMA|0481-09'!$AA$45</definedName>
    <definedName name="NEW_AdjONLYGroupSalary" localSheetId="4">'EDMB|0450-75'!$AA$45</definedName>
    <definedName name="NEW_AdjONLYGroupSalary">'B6'!$AA$45</definedName>
    <definedName name="NEW_AdjONLYGroupVB" localSheetId="0">'EDMA|0001-00'!$AB$45</definedName>
    <definedName name="NEW_AdjONLYGroupVB" localSheetId="1">'EDMA|0348-00'!$AB$45</definedName>
    <definedName name="NEW_AdjONLYGroupVB" localSheetId="2">'EDMA|0349-00'!$AB$45</definedName>
    <definedName name="NEW_AdjONLYGroupVB" localSheetId="3">'EDMA|0481-09'!$AB$45</definedName>
    <definedName name="NEW_AdjONLYGroupVB" localSheetId="4">'EDMB|0450-75'!$AB$45</definedName>
    <definedName name="NEW_AdjONLYGroupVB">'B6'!$AB$45</definedName>
    <definedName name="NEW_AdjONLYPerm" localSheetId="0">'EDMA|0001-00'!$AC$44</definedName>
    <definedName name="NEW_AdjONLYPerm" localSheetId="1">'EDMA|0348-00'!$AC$44</definedName>
    <definedName name="NEW_AdjONLYPerm" localSheetId="2">'EDMA|0349-00'!$AC$44</definedName>
    <definedName name="NEW_AdjONLYPerm" localSheetId="3">'EDMA|0481-09'!$AC$44</definedName>
    <definedName name="NEW_AdjONLYPerm" localSheetId="4">'EDMB|0450-75'!$AC$44</definedName>
    <definedName name="NEW_AdjONLYPerm">'B6'!$AC$44</definedName>
    <definedName name="NEW_AdjONLYPermSalary" localSheetId="0">'EDMA|0001-00'!$AA$44</definedName>
    <definedName name="NEW_AdjONLYPermSalary" localSheetId="1">'EDMA|0348-00'!$AA$44</definedName>
    <definedName name="NEW_AdjONLYPermSalary" localSheetId="2">'EDMA|0349-00'!$AA$44</definedName>
    <definedName name="NEW_AdjONLYPermSalary" localSheetId="3">'EDMA|0481-09'!$AA$44</definedName>
    <definedName name="NEW_AdjONLYPermSalary" localSheetId="4">'EDMB|0450-75'!$AA$44</definedName>
    <definedName name="NEW_AdjONLYPermSalary">'B6'!$AA$44</definedName>
    <definedName name="NEW_AdjONLYPermVB" localSheetId="0">'EDMA|0001-00'!$AB$44</definedName>
    <definedName name="NEW_AdjONLYPermVB" localSheetId="1">'EDMA|0348-00'!$AB$44</definedName>
    <definedName name="NEW_AdjONLYPermVB" localSheetId="2">'EDMA|0349-00'!$AB$44</definedName>
    <definedName name="NEW_AdjONLYPermVB" localSheetId="3">'EDMA|0481-09'!$AB$44</definedName>
    <definedName name="NEW_AdjONLYPermVB" localSheetId="4">'EDMB|0450-75'!$AB$44</definedName>
    <definedName name="NEW_AdjONLYPermVB">'B6'!$AB$44</definedName>
    <definedName name="NEW_AdjPerm" localSheetId="0">'EDMA|0001-00'!$AC$38</definedName>
    <definedName name="NEW_AdjPerm" localSheetId="1">'EDMA|0348-00'!$AC$38</definedName>
    <definedName name="NEW_AdjPerm" localSheetId="2">'EDMA|0349-00'!$AC$38</definedName>
    <definedName name="NEW_AdjPerm" localSheetId="3">'EDMA|0481-09'!$AC$38</definedName>
    <definedName name="NEW_AdjPerm" localSheetId="4">'EDMB|0450-75'!$AC$38</definedName>
    <definedName name="NEW_AdjPerm">'B6'!$AC$38</definedName>
    <definedName name="NEW_AdjPermSalary" localSheetId="0">'EDMA|0001-00'!$AA$38</definedName>
    <definedName name="NEW_AdjPermSalary" localSheetId="1">'EDMA|0348-00'!$AA$38</definedName>
    <definedName name="NEW_AdjPermSalary" localSheetId="2">'EDMA|0349-00'!$AA$38</definedName>
    <definedName name="NEW_AdjPermSalary" localSheetId="3">'EDMA|0481-09'!$AA$38</definedName>
    <definedName name="NEW_AdjPermSalary" localSheetId="4">'EDMB|0450-75'!$AA$38</definedName>
    <definedName name="NEW_AdjPermSalary">'B6'!$AA$38</definedName>
    <definedName name="NEW_AdjPermVB" localSheetId="0">'EDMA|0001-00'!$AB$38</definedName>
    <definedName name="NEW_AdjPermVB" localSheetId="1">'EDMA|0348-00'!$AB$38</definedName>
    <definedName name="NEW_AdjPermVB" localSheetId="2">'EDMA|0349-00'!$AB$38</definedName>
    <definedName name="NEW_AdjPermVB" localSheetId="3">'EDMA|0481-09'!$AB$38</definedName>
    <definedName name="NEW_AdjPermVB" localSheetId="4">'EDMB|0450-75'!$AB$38</definedName>
    <definedName name="NEW_AdjPermVB">'B6'!$AB$38</definedName>
    <definedName name="NEW_GroupFilled" localSheetId="0">'EDMA|0001-00'!$AC$11</definedName>
    <definedName name="NEW_GroupFilled" localSheetId="1">'EDMA|0348-00'!$AC$11</definedName>
    <definedName name="NEW_GroupFilled" localSheetId="2">'EDMA|0349-00'!$AC$11</definedName>
    <definedName name="NEW_GroupFilled" localSheetId="3">'EDMA|0481-09'!$AC$11</definedName>
    <definedName name="NEW_GroupFilled" localSheetId="4">'EDMB|0450-75'!$AC$11</definedName>
    <definedName name="NEW_GroupFilled">'B6'!$AC$11</definedName>
    <definedName name="NEW_GroupSalaryFilled" localSheetId="0">'EDMA|0001-00'!$AA$11</definedName>
    <definedName name="NEW_GroupSalaryFilled" localSheetId="1">'EDMA|0348-00'!$AA$11</definedName>
    <definedName name="NEW_GroupSalaryFilled" localSheetId="2">'EDMA|0349-00'!$AA$11</definedName>
    <definedName name="NEW_GroupSalaryFilled" localSheetId="3">'EDMA|0481-09'!$AA$11</definedName>
    <definedName name="NEW_GroupSalaryFilled" localSheetId="4">'EDMB|0450-75'!$AA$11</definedName>
    <definedName name="NEW_GroupSalaryFilled">'B6'!$AA$11</definedName>
    <definedName name="NEW_GroupVBFilled" localSheetId="0">'EDMA|0001-00'!$AB$11</definedName>
    <definedName name="NEW_GroupVBFilled" localSheetId="1">'EDMA|0348-00'!$AB$11</definedName>
    <definedName name="NEW_GroupVBFilled" localSheetId="2">'EDMA|0349-00'!$AB$11</definedName>
    <definedName name="NEW_GroupVBFilled" localSheetId="3">'EDMA|0481-09'!$AB$11</definedName>
    <definedName name="NEW_GroupVBFilled" localSheetId="4">'EDMB|0450-75'!$AB$11</definedName>
    <definedName name="NEW_GroupVBFilled">'B6'!$AB$11</definedName>
    <definedName name="NEW_PermFilled" localSheetId="0">'EDMA|0001-00'!$AC$10</definedName>
    <definedName name="NEW_PermFilled" localSheetId="1">'EDMA|0348-00'!$AC$10</definedName>
    <definedName name="NEW_PermFilled" localSheetId="2">'EDMA|0349-00'!$AC$10</definedName>
    <definedName name="NEW_PermFilled" localSheetId="3">'EDMA|0481-09'!$AC$10</definedName>
    <definedName name="NEW_PermFilled" localSheetId="4">'EDMB|0450-75'!$AC$10</definedName>
    <definedName name="NEW_PermFilled">'B6'!$AC$10</definedName>
    <definedName name="NEW_PermSalaryFilled" localSheetId="0">'EDMA|0001-00'!$AA$10</definedName>
    <definedName name="NEW_PermSalaryFilled" localSheetId="1">'EDMA|0348-00'!$AA$10</definedName>
    <definedName name="NEW_PermSalaryFilled" localSheetId="2">'EDMA|0349-00'!$AA$10</definedName>
    <definedName name="NEW_PermSalaryFilled" localSheetId="3">'EDMA|0481-09'!$AA$10</definedName>
    <definedName name="NEW_PermSalaryFilled" localSheetId="4">'EDMB|0450-75'!$AA$10</definedName>
    <definedName name="NEW_PermSalaryFilled">'B6'!$AA$10</definedName>
    <definedName name="NEW_PermVBFilled" localSheetId="0">'EDMA|0001-00'!$AB$10</definedName>
    <definedName name="NEW_PermVBFilled" localSheetId="1">'EDMA|0348-00'!$AB$10</definedName>
    <definedName name="NEW_PermVBFilled" localSheetId="2">'EDMA|0349-00'!$AB$10</definedName>
    <definedName name="NEW_PermVBFilled" localSheetId="3">'EDMA|0481-09'!$AB$10</definedName>
    <definedName name="NEW_PermVBFilled" localSheetId="4">'EDMB|0450-75'!$AB$10</definedName>
    <definedName name="NEW_PermVBFilled">'B6'!$AB$10</definedName>
    <definedName name="OneTimePC_Total" localSheetId="0">'EDMA|0001-00'!$J$63</definedName>
    <definedName name="OneTimePC_Total" localSheetId="1">'EDMA|0348-00'!$J$63</definedName>
    <definedName name="OneTimePC_Total" localSheetId="2">'EDMA|0349-00'!$J$63</definedName>
    <definedName name="OneTimePC_Total" localSheetId="3">'EDMA|0481-09'!$J$63</definedName>
    <definedName name="OneTimePC_Total" localSheetId="4">'EDMB|0450-75'!$J$63</definedName>
    <definedName name="OneTimePC_Total">'B6'!$J$63</definedName>
    <definedName name="OrigApprop" localSheetId="0">'EDMA|0001-00'!$E$15</definedName>
    <definedName name="OrigApprop" localSheetId="1">'EDMA|0348-00'!$E$15</definedName>
    <definedName name="OrigApprop" localSheetId="2">'EDMA|0349-00'!$E$15</definedName>
    <definedName name="OrigApprop" localSheetId="3">'EDMA|0481-09'!$E$15</definedName>
    <definedName name="OrigApprop" localSheetId="4">'EDMB|0450-75'!$E$15</definedName>
    <definedName name="OrigApprop">'B6'!$E$15</definedName>
    <definedName name="perm_name" localSheetId="0">'EDMA|0001-00'!$C$10</definedName>
    <definedName name="perm_name" localSheetId="1">'EDMA|0348-00'!$C$10</definedName>
    <definedName name="perm_name" localSheetId="2">'EDMA|0349-00'!$C$10</definedName>
    <definedName name="perm_name" localSheetId="3">'EDMA|0481-09'!$C$10</definedName>
    <definedName name="perm_name" localSheetId="4">'EDMB|0450-75'!$C$10</definedName>
    <definedName name="perm_name">'B6'!$C$10</definedName>
    <definedName name="PermFTP" localSheetId="0">'EDMA|0001-00'!$F$10</definedName>
    <definedName name="PermFTP" localSheetId="1">'EDMA|0348-00'!$F$10</definedName>
    <definedName name="PermFTP" localSheetId="2">'EDMA|0349-00'!$F$10</definedName>
    <definedName name="PermFTP" localSheetId="3">'EDMA|0481-09'!$F$10</definedName>
    <definedName name="PermFTP" localSheetId="4">'EDMB|0450-75'!$F$10</definedName>
    <definedName name="PermFTP">'B6'!$F$10</definedName>
    <definedName name="PermFxdBen" localSheetId="0">'EDMA|0001-00'!$H$10</definedName>
    <definedName name="PermFxdBen" localSheetId="1">'EDMA|0348-00'!$H$10</definedName>
    <definedName name="PermFxdBen" localSheetId="2">'EDMA|0349-00'!$H$10</definedName>
    <definedName name="PermFxdBen" localSheetId="3">'EDMA|0481-09'!$H$10</definedName>
    <definedName name="PermFxdBen" localSheetId="4">'EDMB|0450-75'!$H$10</definedName>
    <definedName name="PermFxdBen">'B6'!$H$10</definedName>
    <definedName name="PermFxdBenChg" localSheetId="0">'EDMA|0001-00'!$L$10</definedName>
    <definedName name="PermFxdBenChg" localSheetId="1">'EDMA|0348-00'!$L$10</definedName>
    <definedName name="PermFxdBenChg" localSheetId="2">'EDMA|0349-00'!$L$10</definedName>
    <definedName name="PermFxdBenChg" localSheetId="3">'EDMA|0481-09'!$L$10</definedName>
    <definedName name="PermFxdBenChg" localSheetId="4">'EDMB|0450-75'!$L$10</definedName>
    <definedName name="PermFxdBenChg">'B6'!$L$10</definedName>
    <definedName name="PermFxdChg" localSheetId="0">'EDMA|0001-00'!$L$10</definedName>
    <definedName name="PermFxdChg" localSheetId="1">'EDMA|0348-00'!$L$10</definedName>
    <definedName name="PermFxdChg" localSheetId="2">'EDMA|0349-00'!$L$10</definedName>
    <definedName name="PermFxdChg" localSheetId="3">'EDMA|0481-09'!$L$10</definedName>
    <definedName name="PermFxdChg" localSheetId="4">'EDMB|0450-75'!$L$10</definedName>
    <definedName name="PermFxdChg">'B6'!$L$10</definedName>
    <definedName name="PermSalary" localSheetId="0">'EDMA|0001-00'!$G$10</definedName>
    <definedName name="PermSalary" localSheetId="1">'EDMA|0348-00'!$G$10</definedName>
    <definedName name="PermSalary" localSheetId="2">'EDMA|0349-00'!$G$10</definedName>
    <definedName name="PermSalary" localSheetId="3">'EDMA|0481-09'!$G$10</definedName>
    <definedName name="PermSalary" localSheetId="4">'EDMB|0450-75'!$G$10</definedName>
    <definedName name="PermSalary">'B6'!$G$10</definedName>
    <definedName name="PermVarBen" localSheetId="0">'EDMA|0001-00'!$I$10</definedName>
    <definedName name="PermVarBen" localSheetId="1">'EDMA|0348-00'!$I$10</definedName>
    <definedName name="PermVarBen" localSheetId="2">'EDMA|0349-00'!$I$10</definedName>
    <definedName name="PermVarBen" localSheetId="3">'EDMA|0481-09'!$I$10</definedName>
    <definedName name="PermVarBen" localSheetId="4">'EDMB|0450-75'!$I$10</definedName>
    <definedName name="PermVarBen">'B6'!$I$10</definedName>
    <definedName name="PermVarBenChg" localSheetId="0">'EDMA|0001-00'!$M$10</definedName>
    <definedName name="PermVarBenChg" localSheetId="1">'EDMA|0348-00'!$M$10</definedName>
    <definedName name="PermVarBenChg" localSheetId="2">'EDMA|0349-00'!$M$10</definedName>
    <definedName name="PermVarBenChg" localSheetId="3">'EDMA|0481-09'!$M$10</definedName>
    <definedName name="PermVarBenChg" localSheetId="4">'EDMB|0450-75'!$M$10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7">'B6'!$A$1:$N$81</definedName>
    <definedName name="_xlnm.Print_Area" localSheetId="6">Benefits!$A$1:$G$36</definedName>
    <definedName name="_xlnm.Print_Area" localSheetId="0">'EDMA|0001-00'!$A$1:$N$81</definedName>
    <definedName name="_xlnm.Print_Area" localSheetId="1">'EDMA|0348-00'!$A$1:$N$81</definedName>
    <definedName name="_xlnm.Print_Area" localSheetId="2">'EDMA|0349-00'!$A$1:$N$81</definedName>
    <definedName name="_xlnm.Print_Area" localSheetId="3">'EDMA|0481-09'!$A$1:$N$81</definedName>
    <definedName name="_xlnm.Print_Area" localSheetId="4">'EDMB|0450-75'!$A$1:$N$81</definedName>
    <definedName name="Prog_Unadjusted_Total" localSheetId="0">'EDMA|0001-00'!$C$8:$N$16</definedName>
    <definedName name="Prog_Unadjusted_Total" localSheetId="1">'EDMA|0348-00'!$C$8:$N$16</definedName>
    <definedName name="Prog_Unadjusted_Total" localSheetId="2">'EDMA|0349-00'!$C$8:$N$16</definedName>
    <definedName name="Prog_Unadjusted_Total" localSheetId="3">'EDMA|0481-09'!$C$8:$N$16</definedName>
    <definedName name="Prog_Unadjusted_Total" localSheetId="4">'EDMB|0450-75'!$C$8:$N$16</definedName>
    <definedName name="Prog_Unadjusted_Total">'B6'!$C$8:$N$16</definedName>
    <definedName name="Program" localSheetId="0">'EDMA|0001-00'!$D$3</definedName>
    <definedName name="Program" localSheetId="1">'EDMA|0348-00'!$D$3</definedName>
    <definedName name="Program" localSheetId="2">'EDMA|0349-00'!$D$3</definedName>
    <definedName name="Program" localSheetId="3">'EDMA|0481-09'!$D$3</definedName>
    <definedName name="Program" localSheetId="4">'EDMB|0450-75'!$D$3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'EDMA|0001-00'!$G$52</definedName>
    <definedName name="RoundedAppropSalary" localSheetId="1">'EDMA|0348-00'!$G$52</definedName>
    <definedName name="RoundedAppropSalary" localSheetId="2">'EDMA|0349-00'!$G$52</definedName>
    <definedName name="RoundedAppropSalary" localSheetId="3">'EDMA|0481-09'!$G$52</definedName>
    <definedName name="RoundedAppropSalary" localSheetId="4">'EDMB|0450-75'!$G$52</definedName>
    <definedName name="RoundedAppropSalary">'B6'!$G$52</definedName>
    <definedName name="SalaryChg" localSheetId="0">'EDMA|0001-00'!$K$10</definedName>
    <definedName name="SalaryChg" localSheetId="1">'EDMA|0348-00'!$K$10</definedName>
    <definedName name="SalaryChg" localSheetId="2">'EDMA|0349-00'!$K$10</definedName>
    <definedName name="SalaryChg" localSheetId="3">'EDMA|0481-09'!$K$10</definedName>
    <definedName name="SalaryChg" localSheetId="4">'EDMB|0450-75'!$K$10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'EDMA|0001-00'!#REF!</definedName>
    <definedName name="SubCECBase" localSheetId="1">'EDMA|0348-00'!#REF!</definedName>
    <definedName name="SubCECBase" localSheetId="2">'EDMA|0349-00'!#REF!</definedName>
    <definedName name="SubCECBase" localSheetId="3">'EDMA|0481-09'!#REF!</definedName>
    <definedName name="SubCECBase" localSheetId="4">'EDMB|0450-75'!#REF!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1" l="1"/>
  <c r="F18" i="11"/>
  <c r="G18" i="11"/>
  <c r="H18" i="11"/>
  <c r="I18" i="11"/>
  <c r="J18" i="11"/>
  <c r="K18" i="11"/>
  <c r="L18" i="11"/>
  <c r="M18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I22" i="11"/>
  <c r="L22" i="11"/>
  <c r="E23" i="11"/>
  <c r="E24" i="11"/>
  <c r="I24" i="11"/>
  <c r="L24" i="11"/>
  <c r="E25" i="11"/>
  <c r="E26" i="11"/>
  <c r="I26" i="11"/>
  <c r="L26" i="11"/>
  <c r="E27" i="11"/>
  <c r="E28" i="11"/>
  <c r="F28" i="11"/>
  <c r="G28" i="11"/>
  <c r="H28" i="11"/>
  <c r="I28" i="11"/>
  <c r="J28" i="11"/>
  <c r="K28" i="11"/>
  <c r="L28" i="11"/>
  <c r="M28" i="11"/>
  <c r="E30" i="11"/>
  <c r="F30" i="11"/>
  <c r="G30" i="11"/>
  <c r="H30" i="11"/>
  <c r="I30" i="11"/>
  <c r="J30" i="11"/>
  <c r="K30" i="11"/>
  <c r="L30" i="11"/>
  <c r="M30" i="11"/>
  <c r="AS153" i="5"/>
  <c r="E29" i="11" s="1"/>
  <c r="AZ151" i="5"/>
  <c r="L27" i="11" s="1"/>
  <c r="AW151" i="5"/>
  <c r="I27" i="11" s="1"/>
  <c r="AZ149" i="5"/>
  <c r="L25" i="11" s="1"/>
  <c r="AW149" i="5"/>
  <c r="AW153" i="5" s="1"/>
  <c r="I29" i="11" s="1"/>
  <c r="AZ147" i="5"/>
  <c r="L23" i="11" s="1"/>
  <c r="AW147" i="5"/>
  <c r="I23" i="11" s="1"/>
  <c r="A55" i="10"/>
  <c r="K48" i="10"/>
  <c r="J48" i="10"/>
  <c r="I48" i="10"/>
  <c r="H48" i="10"/>
  <c r="G48" i="10"/>
  <c r="F48" i="10"/>
  <c r="E48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N34" i="17" s="1"/>
  <c r="L34" i="17"/>
  <c r="J34" i="17"/>
  <c r="I34" i="17"/>
  <c r="H34" i="17"/>
  <c r="M33" i="17"/>
  <c r="L33" i="17"/>
  <c r="J33" i="17"/>
  <c r="I33" i="17"/>
  <c r="H33" i="17"/>
  <c r="M32" i="17"/>
  <c r="L32" i="17"/>
  <c r="J32" i="17"/>
  <c r="I32" i="17"/>
  <c r="H32" i="17"/>
  <c r="M30" i="17"/>
  <c r="L30" i="17"/>
  <c r="J30" i="17"/>
  <c r="I30" i="17"/>
  <c r="H30" i="17"/>
  <c r="M29" i="17"/>
  <c r="L29" i="17"/>
  <c r="N29" i="17" s="1"/>
  <c r="J29" i="17"/>
  <c r="I29" i="17"/>
  <c r="H29" i="17"/>
  <c r="M28" i="17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N21" i="17" s="1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F52" i="15" s="1"/>
  <c r="F56" i="15" s="1"/>
  <c r="F60" i="15" s="1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21" i="5" s="1"/>
  <c r="CM122" i="5" s="1"/>
  <c r="CM110" i="5"/>
  <c r="CM111" i="5"/>
  <c r="CM112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21" i="5" s="1"/>
  <c r="CL122" i="5" s="1"/>
  <c r="CL110" i="5"/>
  <c r="CL111" i="5"/>
  <c r="CL112" i="5"/>
  <c r="CL2" i="5"/>
  <c r="AW112" i="5"/>
  <c r="AW111" i="5"/>
  <c r="AW110" i="5"/>
  <c r="AW109" i="5"/>
  <c r="AW121" i="5" s="1"/>
  <c r="AW122" i="5" s="1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S7" i="5"/>
  <c r="AX7" i="5" s="1"/>
  <c r="AS8" i="5"/>
  <c r="AX8" i="5" s="1"/>
  <c r="AS9" i="5"/>
  <c r="AX9" i="5" s="1"/>
  <c r="AS10" i="5"/>
  <c r="AT10" i="5" s="1"/>
  <c r="AS11" i="5"/>
  <c r="AX11" i="5" s="1"/>
  <c r="AS12" i="5"/>
  <c r="AX12" i="5" s="1"/>
  <c r="AS13" i="5"/>
  <c r="AX13" i="5" s="1"/>
  <c r="AS14" i="5"/>
  <c r="AS15" i="5"/>
  <c r="AX15" i="5" s="1"/>
  <c r="AS16" i="5"/>
  <c r="AX16" i="5" s="1"/>
  <c r="AS17" i="5"/>
  <c r="AX17" i="5" s="1"/>
  <c r="AS18" i="5"/>
  <c r="AT18" i="5" s="1"/>
  <c r="AS19" i="5"/>
  <c r="AX19" i="5" s="1"/>
  <c r="AS20" i="5"/>
  <c r="AX20" i="5" s="1"/>
  <c r="AS21" i="5"/>
  <c r="AX21" i="5" s="1"/>
  <c r="AS22" i="5"/>
  <c r="AS23" i="5"/>
  <c r="AX23" i="5" s="1"/>
  <c r="AS24" i="5"/>
  <c r="AX24" i="5" s="1"/>
  <c r="AS25" i="5"/>
  <c r="AX25" i="5" s="1"/>
  <c r="AS26" i="5"/>
  <c r="AT26" i="5" s="1"/>
  <c r="AS27" i="5"/>
  <c r="AX27" i="5" s="1"/>
  <c r="AS28" i="5"/>
  <c r="AX28" i="5" s="1"/>
  <c r="AS29" i="5"/>
  <c r="AX29" i="5" s="1"/>
  <c r="AS30" i="5"/>
  <c r="AS31" i="5"/>
  <c r="AX31" i="5" s="1"/>
  <c r="AS32" i="5"/>
  <c r="AX32" i="5" s="1"/>
  <c r="AS33" i="5"/>
  <c r="AX33" i="5" s="1"/>
  <c r="AS34" i="5"/>
  <c r="AT34" i="5" s="1"/>
  <c r="AS35" i="5"/>
  <c r="AX35" i="5" s="1"/>
  <c r="AS36" i="5"/>
  <c r="AX36" i="5" s="1"/>
  <c r="AS37" i="5"/>
  <c r="AX37" i="5" s="1"/>
  <c r="AS38" i="5"/>
  <c r="AS39" i="5"/>
  <c r="AX39" i="5" s="1"/>
  <c r="AS40" i="5"/>
  <c r="AX40" i="5" s="1"/>
  <c r="AS41" i="5"/>
  <c r="AX41" i="5" s="1"/>
  <c r="AS42" i="5"/>
  <c r="AT42" i="5" s="1"/>
  <c r="AS43" i="5"/>
  <c r="AX43" i="5" s="1"/>
  <c r="AS44" i="5"/>
  <c r="AX44" i="5" s="1"/>
  <c r="AS45" i="5"/>
  <c r="AX45" i="5" s="1"/>
  <c r="AS46" i="5"/>
  <c r="AS47" i="5"/>
  <c r="AX47" i="5" s="1"/>
  <c r="AS48" i="5"/>
  <c r="AX48" i="5" s="1"/>
  <c r="AS49" i="5"/>
  <c r="AX49" i="5" s="1"/>
  <c r="AS50" i="5"/>
  <c r="AT50" i="5" s="1"/>
  <c r="AS51" i="5"/>
  <c r="AX51" i="5" s="1"/>
  <c r="AS52" i="5"/>
  <c r="AX52" i="5" s="1"/>
  <c r="AS53" i="5"/>
  <c r="AX53" i="5" s="1"/>
  <c r="AS54" i="5"/>
  <c r="AS55" i="5"/>
  <c r="AX55" i="5" s="1"/>
  <c r="AS56" i="5"/>
  <c r="AX56" i="5" s="1"/>
  <c r="AS57" i="5"/>
  <c r="AX57" i="5" s="1"/>
  <c r="AS58" i="5"/>
  <c r="AT58" i="5" s="1"/>
  <c r="AS59" i="5"/>
  <c r="AX59" i="5" s="1"/>
  <c r="AS60" i="5"/>
  <c r="AX60" i="5" s="1"/>
  <c r="AS61" i="5"/>
  <c r="AX61" i="5" s="1"/>
  <c r="AS62" i="5"/>
  <c r="AS63" i="5"/>
  <c r="AX63" i="5" s="1"/>
  <c r="AS64" i="5"/>
  <c r="AX64" i="5" s="1"/>
  <c r="AS65" i="5"/>
  <c r="AX65" i="5" s="1"/>
  <c r="AS66" i="5"/>
  <c r="AT66" i="5" s="1"/>
  <c r="AS67" i="5"/>
  <c r="AX67" i="5" s="1"/>
  <c r="AS68" i="5"/>
  <c r="AX68" i="5" s="1"/>
  <c r="AS69" i="5"/>
  <c r="AX69" i="5" s="1"/>
  <c r="AS70" i="5"/>
  <c r="AS71" i="5"/>
  <c r="AX71" i="5" s="1"/>
  <c r="AS72" i="5"/>
  <c r="AX72" i="5" s="1"/>
  <c r="AS73" i="5"/>
  <c r="AX73" i="5" s="1"/>
  <c r="AS74" i="5"/>
  <c r="AT74" i="5" s="1"/>
  <c r="AS75" i="5"/>
  <c r="AX75" i="5" s="1"/>
  <c r="AS76" i="5"/>
  <c r="AX76" i="5" s="1"/>
  <c r="AS77" i="5"/>
  <c r="AX77" i="5" s="1"/>
  <c r="AS78" i="5"/>
  <c r="AS79" i="5"/>
  <c r="AX79" i="5" s="1"/>
  <c r="AS80" i="5"/>
  <c r="AX80" i="5" s="1"/>
  <c r="AS81" i="5"/>
  <c r="AX81" i="5" s="1"/>
  <c r="AS82" i="5"/>
  <c r="AT82" i="5" s="1"/>
  <c r="AS83" i="5"/>
  <c r="AX83" i="5" s="1"/>
  <c r="AS84" i="5"/>
  <c r="AX84" i="5" s="1"/>
  <c r="AS85" i="5"/>
  <c r="AX85" i="5" s="1"/>
  <c r="AS86" i="5"/>
  <c r="AS87" i="5"/>
  <c r="AX87" i="5" s="1"/>
  <c r="AS88" i="5"/>
  <c r="AX88" i="5" s="1"/>
  <c r="AS89" i="5"/>
  <c r="AX89" i="5" s="1"/>
  <c r="AS90" i="5"/>
  <c r="AT90" i="5" s="1"/>
  <c r="AS91" i="5"/>
  <c r="AX91" i="5" s="1"/>
  <c r="AS92" i="5"/>
  <c r="AX92" i="5" s="1"/>
  <c r="AS93" i="5"/>
  <c r="AX93" i="5" s="1"/>
  <c r="AS94" i="5"/>
  <c r="AS95" i="5"/>
  <c r="AX95" i="5" s="1"/>
  <c r="AS96" i="5"/>
  <c r="AX96" i="5" s="1"/>
  <c r="AS97" i="5"/>
  <c r="AX97" i="5" s="1"/>
  <c r="AS98" i="5"/>
  <c r="AT98" i="5" s="1"/>
  <c r="AS99" i="5"/>
  <c r="AX99" i="5" s="1"/>
  <c r="AS100" i="5"/>
  <c r="AX100" i="5" s="1"/>
  <c r="AS101" i="5"/>
  <c r="AX101" i="5" s="1"/>
  <c r="AS102" i="5"/>
  <c r="AS103" i="5"/>
  <c r="AX103" i="5" s="1"/>
  <c r="AS104" i="5"/>
  <c r="AX104" i="5" s="1"/>
  <c r="AS105" i="5"/>
  <c r="AX105" i="5" s="1"/>
  <c r="AS106" i="5"/>
  <c r="AT106" i="5" s="1"/>
  <c r="AS107" i="5"/>
  <c r="AX107" i="5" s="1"/>
  <c r="AS108" i="5"/>
  <c r="AX108" i="5" s="1"/>
  <c r="AS109" i="5"/>
  <c r="AX109" i="5" s="1"/>
  <c r="AX121" i="5" s="1"/>
  <c r="AX122" i="5" s="1"/>
  <c r="AS110" i="5"/>
  <c r="AS111" i="5"/>
  <c r="AX111" i="5" s="1"/>
  <c r="AS112" i="5"/>
  <c r="AX112" i="5" s="1"/>
  <c r="AS2" i="5"/>
  <c r="AT2" i="5" s="1"/>
  <c r="E27" i="7"/>
  <c r="N20" i="15" l="1"/>
  <c r="N24" i="17"/>
  <c r="N24" i="15"/>
  <c r="N33" i="15"/>
  <c r="N20" i="17"/>
  <c r="I25" i="11"/>
  <c r="AZ153" i="5"/>
  <c r="L29" i="11" s="1"/>
  <c r="N20" i="14"/>
  <c r="N21" i="15"/>
  <c r="N29" i="15"/>
  <c r="N27" i="17"/>
  <c r="N23" i="17"/>
  <c r="N32" i="17"/>
  <c r="N25" i="17"/>
  <c r="AU132" i="5"/>
  <c r="AT134" i="5"/>
  <c r="F10" i="11" s="1"/>
  <c r="AU134" i="5"/>
  <c r="G10" i="11" s="1"/>
  <c r="BA146" i="5"/>
  <c r="AT138" i="5"/>
  <c r="AX150" i="5"/>
  <c r="J26" i="11" s="1"/>
  <c r="AU150" i="5"/>
  <c r="G26" i="11" s="1"/>
  <c r="BA148" i="5"/>
  <c r="M24" i="11" s="1"/>
  <c r="AX146" i="5"/>
  <c r="AT136" i="5"/>
  <c r="F12" i="11" s="1"/>
  <c r="AT150" i="5"/>
  <c r="F26" i="11" s="1"/>
  <c r="AY148" i="5"/>
  <c r="K24" i="11" s="1"/>
  <c r="AV146" i="5"/>
  <c r="AX148" i="5"/>
  <c r="J24" i="11" s="1"/>
  <c r="AU146" i="5"/>
  <c r="AV148" i="5"/>
  <c r="H24" i="11" s="1"/>
  <c r="AT146" i="5"/>
  <c r="AU140" i="5"/>
  <c r="BA150" i="5"/>
  <c r="M26" i="11" s="1"/>
  <c r="AU148" i="5"/>
  <c r="G24" i="11" s="1"/>
  <c r="AT140" i="5"/>
  <c r="AY150" i="5"/>
  <c r="K26" i="11" s="1"/>
  <c r="AT148" i="5"/>
  <c r="F24" i="11" s="1"/>
  <c r="AU138" i="5"/>
  <c r="AV150" i="5"/>
  <c r="H26" i="11" s="1"/>
  <c r="AY146" i="5"/>
  <c r="AU136" i="5"/>
  <c r="G12" i="11" s="1"/>
  <c r="AT132" i="5"/>
  <c r="N33" i="17"/>
  <c r="N26" i="17"/>
  <c r="N28" i="17"/>
  <c r="N30" i="17"/>
  <c r="N35" i="17"/>
  <c r="N24" i="12"/>
  <c r="N33" i="12"/>
  <c r="N26" i="14"/>
  <c r="N27" i="15"/>
  <c r="N22" i="17"/>
  <c r="CM123" i="5"/>
  <c r="CM124" i="5" s="1"/>
  <c r="G51" i="10" s="1"/>
  <c r="CL123" i="5"/>
  <c r="CL124" i="5" s="1"/>
  <c r="E51" i="10" s="1"/>
  <c r="AW123" i="5"/>
  <c r="AW124" i="5" s="1"/>
  <c r="N39" i="17"/>
  <c r="F67" i="17"/>
  <c r="N34" i="13"/>
  <c r="N26" i="15"/>
  <c r="N29" i="13"/>
  <c r="N22" i="14"/>
  <c r="N30" i="14"/>
  <c r="N23" i="15"/>
  <c r="N24" i="14"/>
  <c r="N27" i="14"/>
  <c r="N25" i="15"/>
  <c r="N34" i="15"/>
  <c r="N22" i="15"/>
  <c r="N30" i="15"/>
  <c r="N23" i="12"/>
  <c r="N32" i="12"/>
  <c r="N24" i="13"/>
  <c r="N33" i="13"/>
  <c r="N23" i="14"/>
  <c r="N35" i="14"/>
  <c r="N21" i="13"/>
  <c r="N28" i="14"/>
  <c r="N23" i="13"/>
  <c r="N25" i="13"/>
  <c r="N29" i="14"/>
  <c r="N28" i="15"/>
  <c r="N32" i="15"/>
  <c r="N35" i="15"/>
  <c r="N27" i="13"/>
  <c r="I11" i="15"/>
  <c r="I39" i="15" s="1"/>
  <c r="AB39" i="15" s="1"/>
  <c r="G38" i="10"/>
  <c r="G11" i="15"/>
  <c r="E38" i="10"/>
  <c r="N39" i="15"/>
  <c r="F67" i="15"/>
  <c r="N33" i="14"/>
  <c r="N20" i="13"/>
  <c r="N32" i="13"/>
  <c r="N35" i="13"/>
  <c r="N25" i="14"/>
  <c r="N21" i="12"/>
  <c r="N29" i="12"/>
  <c r="N22" i="13"/>
  <c r="N28" i="13"/>
  <c r="N21" i="14"/>
  <c r="N32" i="14"/>
  <c r="N34" i="14"/>
  <c r="N39" i="14"/>
  <c r="F52" i="14"/>
  <c r="F56" i="14" s="1"/>
  <c r="F60" i="14" s="1"/>
  <c r="N27" i="12"/>
  <c r="N30" i="13"/>
  <c r="N26" i="12"/>
  <c r="N35" i="12"/>
  <c r="N26" i="13"/>
  <c r="AW119" i="5"/>
  <c r="AW120" i="5" s="1"/>
  <c r="CM119" i="5"/>
  <c r="CM120" i="5" s="1"/>
  <c r="CL119" i="5"/>
  <c r="CL120" i="5" s="1"/>
  <c r="N39" i="13"/>
  <c r="N30" i="12"/>
  <c r="N34" i="12"/>
  <c r="N20" i="12"/>
  <c r="F52" i="13"/>
  <c r="F56" i="13" s="1"/>
  <c r="F60" i="13" s="1"/>
  <c r="N22" i="12"/>
  <c r="N25" i="12"/>
  <c r="N28" i="12"/>
  <c r="AW117" i="5"/>
  <c r="AW118" i="5" s="1"/>
  <c r="CM117" i="5"/>
  <c r="CM118" i="5" s="1"/>
  <c r="CL117" i="5"/>
  <c r="CL118" i="5" s="1"/>
  <c r="AT13" i="5"/>
  <c r="CK13" i="5" s="1"/>
  <c r="N39" i="12"/>
  <c r="AT44" i="5"/>
  <c r="BA44" i="5" s="1"/>
  <c r="AT20" i="5"/>
  <c r="AU20" i="5" s="1"/>
  <c r="BB20" i="5" s="1"/>
  <c r="AT108" i="5"/>
  <c r="BY108" i="5" s="1"/>
  <c r="AT84" i="5"/>
  <c r="BA84" i="5" s="1"/>
  <c r="AT5" i="5"/>
  <c r="CH5" i="5" s="1"/>
  <c r="AT83" i="5"/>
  <c r="BG83" i="5" s="1"/>
  <c r="AT4" i="5"/>
  <c r="AU4" i="5" s="1"/>
  <c r="AT69" i="5"/>
  <c r="CI69" i="5" s="1"/>
  <c r="AT19" i="5"/>
  <c r="AU19" i="5" s="1"/>
  <c r="AT59" i="5"/>
  <c r="AU59" i="5" s="1"/>
  <c r="AT109" i="5"/>
  <c r="AS140" i="5" s="1"/>
  <c r="AT96" i="5"/>
  <c r="AY96" i="5" s="1"/>
  <c r="AT71" i="5"/>
  <c r="AZ71" i="5" s="1"/>
  <c r="AT45" i="5"/>
  <c r="CH45" i="5" s="1"/>
  <c r="AT32" i="5"/>
  <c r="AY32" i="5" s="1"/>
  <c r="AT7" i="5"/>
  <c r="CA7" i="5" s="1"/>
  <c r="AT95" i="5"/>
  <c r="BW95" i="5" s="1"/>
  <c r="AT56" i="5"/>
  <c r="CA56" i="5" s="1"/>
  <c r="AT31" i="5"/>
  <c r="CK31" i="5" s="1"/>
  <c r="AT107" i="5"/>
  <c r="AU107" i="5" s="1"/>
  <c r="AT93" i="5"/>
  <c r="CG93" i="5" s="1"/>
  <c r="AT80" i="5"/>
  <c r="BT80" i="5" s="1"/>
  <c r="AT68" i="5"/>
  <c r="CF68" i="5" s="1"/>
  <c r="AT55" i="5"/>
  <c r="CH55" i="5" s="1"/>
  <c r="AT43" i="5"/>
  <c r="CG43" i="5" s="1"/>
  <c r="AT29" i="5"/>
  <c r="CA29" i="5" s="1"/>
  <c r="AT16" i="5"/>
  <c r="AV16" i="5" s="1"/>
  <c r="BO16" i="5" s="1"/>
  <c r="AT104" i="5"/>
  <c r="CF104" i="5" s="1"/>
  <c r="AT92" i="5"/>
  <c r="AV92" i="5" s="1"/>
  <c r="BC92" i="5" s="1"/>
  <c r="AT79" i="5"/>
  <c r="CJ79" i="5" s="1"/>
  <c r="AT67" i="5"/>
  <c r="AU67" i="5" s="1"/>
  <c r="AT53" i="5"/>
  <c r="BW53" i="5" s="1"/>
  <c r="AT40" i="5"/>
  <c r="CI40" i="5" s="1"/>
  <c r="AT28" i="5"/>
  <c r="BV28" i="5" s="1"/>
  <c r="AT15" i="5"/>
  <c r="CA15" i="5" s="1"/>
  <c r="AT3" i="5"/>
  <c r="AU3" i="5" s="1"/>
  <c r="AT103" i="5"/>
  <c r="AV103" i="5" s="1"/>
  <c r="BC103" i="5" s="1"/>
  <c r="AT91" i="5"/>
  <c r="AU91" i="5" s="1"/>
  <c r="AT77" i="5"/>
  <c r="CC77" i="5" s="1"/>
  <c r="AT64" i="5"/>
  <c r="CK64" i="5" s="1"/>
  <c r="AT52" i="5"/>
  <c r="CD52" i="5" s="1"/>
  <c r="AT39" i="5"/>
  <c r="AV39" i="5" s="1"/>
  <c r="AT27" i="5"/>
  <c r="CE27" i="5" s="1"/>
  <c r="CM115" i="5"/>
  <c r="CM116" i="5" s="1"/>
  <c r="I11" i="12" s="1"/>
  <c r="I39" i="12" s="1"/>
  <c r="AB39" i="12" s="1"/>
  <c r="AT101" i="5"/>
  <c r="CC101" i="5" s="1"/>
  <c r="AT88" i="5"/>
  <c r="AY88" i="5" s="1"/>
  <c r="AT76" i="5"/>
  <c r="CI76" i="5" s="1"/>
  <c r="AT63" i="5"/>
  <c r="BV63" i="5" s="1"/>
  <c r="AT51" i="5"/>
  <c r="AU51" i="5" s="1"/>
  <c r="AT37" i="5"/>
  <c r="CF37" i="5" s="1"/>
  <c r="AT24" i="5"/>
  <c r="AY24" i="5" s="1"/>
  <c r="AT12" i="5"/>
  <c r="BY12" i="5" s="1"/>
  <c r="AT112" i="5"/>
  <c r="AY112" i="5" s="1"/>
  <c r="AT100" i="5"/>
  <c r="CK100" i="5" s="1"/>
  <c r="AT87" i="5"/>
  <c r="AY87" i="5" s="1"/>
  <c r="AT75" i="5"/>
  <c r="AU75" i="5" s="1"/>
  <c r="AT61" i="5"/>
  <c r="CK61" i="5" s="1"/>
  <c r="AT48" i="5"/>
  <c r="AT36" i="5"/>
  <c r="CJ36" i="5" s="1"/>
  <c r="AT23" i="5"/>
  <c r="BA23" i="5" s="1"/>
  <c r="BP23" i="5" s="1"/>
  <c r="AT11" i="5"/>
  <c r="CA11" i="5" s="1"/>
  <c r="AT111" i="5"/>
  <c r="CF111" i="5" s="1"/>
  <c r="AT99" i="5"/>
  <c r="AU99" i="5" s="1"/>
  <c r="AT85" i="5"/>
  <c r="CF85" i="5" s="1"/>
  <c r="AT72" i="5"/>
  <c r="AY72" i="5" s="1"/>
  <c r="AT60" i="5"/>
  <c r="CC60" i="5" s="1"/>
  <c r="AT47" i="5"/>
  <c r="CA47" i="5" s="1"/>
  <c r="AT35" i="5"/>
  <c r="CG35" i="5" s="1"/>
  <c r="AT21" i="5"/>
  <c r="CE21" i="5" s="1"/>
  <c r="AT8" i="5"/>
  <c r="AY8" i="5" s="1"/>
  <c r="CK2" i="5"/>
  <c r="CF2" i="5"/>
  <c r="CD2" i="5"/>
  <c r="CE2" i="5"/>
  <c r="CI2" i="5"/>
  <c r="CC2" i="5"/>
  <c r="BW2" i="5"/>
  <c r="BT2" i="5"/>
  <c r="BV2" i="5"/>
  <c r="CA2" i="5"/>
  <c r="BY2" i="5"/>
  <c r="BQ2" i="5"/>
  <c r="BS2" i="5"/>
  <c r="BG2" i="5"/>
  <c r="BR2" i="5"/>
  <c r="BH2" i="5"/>
  <c r="BM2" i="5"/>
  <c r="BJ2" i="5"/>
  <c r="BU2" i="5"/>
  <c r="BI2" i="5"/>
  <c r="BE2" i="5"/>
  <c r="BK2" i="5"/>
  <c r="BF2" i="5"/>
  <c r="AZ2" i="5"/>
  <c r="BA2" i="5"/>
  <c r="AU2" i="5"/>
  <c r="BN2" i="5" s="1"/>
  <c r="AV2" i="5"/>
  <c r="BO2" i="5" s="1"/>
  <c r="AY2" i="5"/>
  <c r="AX2" i="5"/>
  <c r="AX66" i="5"/>
  <c r="BD66" i="5" s="1"/>
  <c r="AT25" i="5"/>
  <c r="AX10" i="5"/>
  <c r="BD10" i="5" s="1"/>
  <c r="AX74" i="5"/>
  <c r="BD74" i="5" s="1"/>
  <c r="AT89" i="5"/>
  <c r="AT57" i="5"/>
  <c r="AX18" i="5"/>
  <c r="BD18" i="5" s="1"/>
  <c r="AX82" i="5"/>
  <c r="BD82" i="5" s="1"/>
  <c r="AX110" i="5"/>
  <c r="AX123" i="5" s="1"/>
  <c r="AX124" i="5" s="1"/>
  <c r="AT110" i="5"/>
  <c r="AX102" i="5"/>
  <c r="AT102" i="5"/>
  <c r="AX94" i="5"/>
  <c r="AT94" i="5"/>
  <c r="AX86" i="5"/>
  <c r="AT86" i="5"/>
  <c r="AX78" i="5"/>
  <c r="AT78" i="5"/>
  <c r="AX70" i="5"/>
  <c r="AT70" i="5"/>
  <c r="AX62" i="5"/>
  <c r="AT62" i="5"/>
  <c r="AX54" i="5"/>
  <c r="AT54" i="5"/>
  <c r="AX46" i="5"/>
  <c r="AT46" i="5"/>
  <c r="AX38" i="5"/>
  <c r="AT38" i="5"/>
  <c r="AX30" i="5"/>
  <c r="AT30" i="5"/>
  <c r="AX22" i="5"/>
  <c r="AT22" i="5"/>
  <c r="AX14" i="5"/>
  <c r="AT14" i="5"/>
  <c r="AX6" i="5"/>
  <c r="AT6" i="5"/>
  <c r="AT97" i="5"/>
  <c r="AT65" i="5"/>
  <c r="AT33" i="5"/>
  <c r="AX26" i="5"/>
  <c r="BD26" i="5" s="1"/>
  <c r="AX90" i="5"/>
  <c r="BD90" i="5" s="1"/>
  <c r="BF101" i="5"/>
  <c r="AX34" i="5"/>
  <c r="BD34" i="5" s="1"/>
  <c r="AX98" i="5"/>
  <c r="BD98" i="5" s="1"/>
  <c r="AT105" i="5"/>
  <c r="AT73" i="5"/>
  <c r="AT41" i="5"/>
  <c r="AT9" i="5"/>
  <c r="AX42" i="5"/>
  <c r="BD42" i="5" s="1"/>
  <c r="AX106" i="5"/>
  <c r="BD106" i="5" s="1"/>
  <c r="AX50" i="5"/>
  <c r="CG106" i="5"/>
  <c r="CJ106" i="5"/>
  <c r="CF106" i="5"/>
  <c r="CC106" i="5"/>
  <c r="CH106" i="5"/>
  <c r="CD106" i="5"/>
  <c r="CI106" i="5"/>
  <c r="CE106" i="5"/>
  <c r="BZ106" i="5"/>
  <c r="BY106" i="5"/>
  <c r="BV106" i="5"/>
  <c r="CA106" i="5"/>
  <c r="BW106" i="5"/>
  <c r="CK106" i="5"/>
  <c r="BS106" i="5"/>
  <c r="BT106" i="5"/>
  <c r="BU106" i="5"/>
  <c r="BX106" i="5"/>
  <c r="BR106" i="5"/>
  <c r="BQ106" i="5"/>
  <c r="BL106" i="5"/>
  <c r="BK106" i="5"/>
  <c r="BE106" i="5"/>
  <c r="BF106" i="5"/>
  <c r="BJ106" i="5"/>
  <c r="BM106" i="5"/>
  <c r="BI106" i="5"/>
  <c r="BG106" i="5"/>
  <c r="AY106" i="5"/>
  <c r="AZ106" i="5"/>
  <c r="BA106" i="5"/>
  <c r="AU106" i="5"/>
  <c r="BN106" i="5" s="1"/>
  <c r="AV106" i="5"/>
  <c r="BO106" i="5" s="1"/>
  <c r="BH106" i="5"/>
  <c r="CG98" i="5"/>
  <c r="CI98" i="5"/>
  <c r="CH98" i="5"/>
  <c r="CC98" i="5"/>
  <c r="CD98" i="5"/>
  <c r="CE98" i="5"/>
  <c r="CF98" i="5"/>
  <c r="CA98" i="5"/>
  <c r="CJ98" i="5"/>
  <c r="BV98" i="5"/>
  <c r="CK98" i="5"/>
  <c r="BY98" i="5"/>
  <c r="BX98" i="5"/>
  <c r="BS98" i="5"/>
  <c r="BZ98" i="5"/>
  <c r="BT98" i="5"/>
  <c r="BW98" i="5"/>
  <c r="BU98" i="5"/>
  <c r="BQ98" i="5"/>
  <c r="BR98" i="5"/>
  <c r="BK98" i="5"/>
  <c r="BG98" i="5"/>
  <c r="BH98" i="5"/>
  <c r="BJ98" i="5"/>
  <c r="BI98" i="5"/>
  <c r="BE98" i="5"/>
  <c r="BF98" i="5"/>
  <c r="BM98" i="5"/>
  <c r="BL98" i="5"/>
  <c r="AY98" i="5"/>
  <c r="AZ98" i="5"/>
  <c r="BA98" i="5"/>
  <c r="AU98" i="5"/>
  <c r="BN98" i="5" s="1"/>
  <c r="AV98" i="5"/>
  <c r="BC98" i="5" s="1"/>
  <c r="CE90" i="5"/>
  <c r="CC90" i="5"/>
  <c r="CD90" i="5"/>
  <c r="CF90" i="5"/>
  <c r="CK90" i="5"/>
  <c r="CI90" i="5"/>
  <c r="BW90" i="5"/>
  <c r="BV90" i="5"/>
  <c r="CA90" i="5"/>
  <c r="BU90" i="5"/>
  <c r="BS90" i="5"/>
  <c r="BT90" i="5"/>
  <c r="BR90" i="5"/>
  <c r="BY90" i="5"/>
  <c r="BJ90" i="5"/>
  <c r="BQ90" i="5"/>
  <c r="BM90" i="5"/>
  <c r="BG90" i="5"/>
  <c r="BE90" i="5"/>
  <c r="BF90" i="5"/>
  <c r="BI90" i="5"/>
  <c r="AY90" i="5"/>
  <c r="AZ90" i="5"/>
  <c r="BA90" i="5"/>
  <c r="AU90" i="5"/>
  <c r="BB90" i="5" s="1"/>
  <c r="BH90" i="5"/>
  <c r="AV90" i="5"/>
  <c r="BO90" i="5" s="1"/>
  <c r="BK90" i="5"/>
  <c r="CG82" i="5"/>
  <c r="CJ82" i="5"/>
  <c r="CH82" i="5"/>
  <c r="CE82" i="5"/>
  <c r="CC82" i="5"/>
  <c r="CK82" i="5"/>
  <c r="CD82" i="5"/>
  <c r="CI82" i="5"/>
  <c r="CA82" i="5"/>
  <c r="CF82" i="5"/>
  <c r="BY82" i="5"/>
  <c r="BV82" i="5"/>
  <c r="BZ82" i="5"/>
  <c r="BW82" i="5"/>
  <c r="BS82" i="5"/>
  <c r="BU82" i="5"/>
  <c r="BR82" i="5"/>
  <c r="BQ82" i="5"/>
  <c r="BL82" i="5"/>
  <c r="BX82" i="5"/>
  <c r="BT82" i="5"/>
  <c r="BM82" i="5"/>
  <c r="BH82" i="5"/>
  <c r="BI82" i="5"/>
  <c r="BE82" i="5"/>
  <c r="BK82" i="5"/>
  <c r="BF82" i="5"/>
  <c r="BG82" i="5"/>
  <c r="BJ82" i="5"/>
  <c r="AY82" i="5"/>
  <c r="AZ82" i="5"/>
  <c r="BA82" i="5"/>
  <c r="AU82" i="5"/>
  <c r="BB82" i="5" s="1"/>
  <c r="AV82" i="5"/>
  <c r="BC82" i="5" s="1"/>
  <c r="CH74" i="5"/>
  <c r="CE74" i="5"/>
  <c r="CG74" i="5"/>
  <c r="CC74" i="5"/>
  <c r="CD74" i="5"/>
  <c r="CJ74" i="5"/>
  <c r="CI74" i="5"/>
  <c r="CK74" i="5"/>
  <c r="BX74" i="5"/>
  <c r="BV74" i="5"/>
  <c r="BS74" i="5"/>
  <c r="BZ74" i="5"/>
  <c r="BT74" i="5"/>
  <c r="BW74" i="5"/>
  <c r="CF74" i="5"/>
  <c r="CA74" i="5"/>
  <c r="BY74" i="5"/>
  <c r="BU74" i="5"/>
  <c r="BR74" i="5"/>
  <c r="BI74" i="5"/>
  <c r="BQ74" i="5"/>
  <c r="BL74" i="5"/>
  <c r="BK74" i="5"/>
  <c r="BE74" i="5"/>
  <c r="BF74" i="5"/>
  <c r="BJ74" i="5"/>
  <c r="BM74" i="5"/>
  <c r="BG74" i="5"/>
  <c r="AY74" i="5"/>
  <c r="AZ74" i="5"/>
  <c r="BA74" i="5"/>
  <c r="BH74" i="5"/>
  <c r="AU74" i="5"/>
  <c r="BN74" i="5" s="1"/>
  <c r="AV74" i="5"/>
  <c r="BO74" i="5" s="1"/>
  <c r="CG66" i="5"/>
  <c r="CJ66" i="5"/>
  <c r="CH66" i="5"/>
  <c r="CE66" i="5"/>
  <c r="CI66" i="5"/>
  <c r="CC66" i="5"/>
  <c r="CF66" i="5"/>
  <c r="CD66" i="5"/>
  <c r="CK66" i="5"/>
  <c r="CA66" i="5"/>
  <c r="BW66" i="5"/>
  <c r="BS66" i="5"/>
  <c r="BU66" i="5"/>
  <c r="BZ66" i="5"/>
  <c r="BY66" i="5"/>
  <c r="BT66" i="5"/>
  <c r="BR66" i="5"/>
  <c r="BL66" i="5"/>
  <c r="BQ66" i="5"/>
  <c r="BX66" i="5"/>
  <c r="BV66" i="5"/>
  <c r="BI66" i="5"/>
  <c r="BK66" i="5"/>
  <c r="BG66" i="5"/>
  <c r="BH66" i="5"/>
  <c r="BJ66" i="5"/>
  <c r="BE66" i="5"/>
  <c r="BF66" i="5"/>
  <c r="BM66" i="5"/>
  <c r="AY66" i="5"/>
  <c r="AZ66" i="5"/>
  <c r="BA66" i="5"/>
  <c r="AU66" i="5"/>
  <c r="BN66" i="5" s="1"/>
  <c r="AV66" i="5"/>
  <c r="BC66" i="5" s="1"/>
  <c r="CG58" i="5"/>
  <c r="CJ58" i="5"/>
  <c r="CE58" i="5"/>
  <c r="CC58" i="5"/>
  <c r="CH58" i="5"/>
  <c r="CD58" i="5"/>
  <c r="CK58" i="5"/>
  <c r="BZ58" i="5"/>
  <c r="CA58" i="5"/>
  <c r="BV58" i="5"/>
  <c r="BY58" i="5"/>
  <c r="BX58" i="5"/>
  <c r="BS58" i="5"/>
  <c r="CF58" i="5"/>
  <c r="BQ58" i="5"/>
  <c r="BU58" i="5"/>
  <c r="BL58" i="5"/>
  <c r="BI58" i="5"/>
  <c r="BW58" i="5"/>
  <c r="BT58" i="5"/>
  <c r="BJ58" i="5"/>
  <c r="CI58" i="5"/>
  <c r="BM58" i="5"/>
  <c r="BG58" i="5"/>
  <c r="BE58" i="5"/>
  <c r="BR58" i="5"/>
  <c r="BF58" i="5"/>
  <c r="AY58" i="5"/>
  <c r="AZ58" i="5"/>
  <c r="BH58" i="5"/>
  <c r="BA58" i="5"/>
  <c r="AU58" i="5"/>
  <c r="BB58" i="5" s="1"/>
  <c r="BK58" i="5"/>
  <c r="AV58" i="5"/>
  <c r="BO58" i="5" s="1"/>
  <c r="CJ50" i="5"/>
  <c r="CH50" i="5"/>
  <c r="CE50" i="5"/>
  <c r="CC50" i="5"/>
  <c r="CK50" i="5"/>
  <c r="CD50" i="5"/>
  <c r="CG50" i="5"/>
  <c r="CF50" i="5"/>
  <c r="CA50" i="5"/>
  <c r="BX50" i="5"/>
  <c r="BZ50" i="5"/>
  <c r="BT50" i="5"/>
  <c r="BS50" i="5"/>
  <c r="CI50" i="5"/>
  <c r="BW50" i="5"/>
  <c r="BU50" i="5"/>
  <c r="BL50" i="5"/>
  <c r="BY50" i="5"/>
  <c r="BV50" i="5"/>
  <c r="BR50" i="5"/>
  <c r="BQ50" i="5"/>
  <c r="BI50" i="5"/>
  <c r="BM50" i="5"/>
  <c r="BH50" i="5"/>
  <c r="BE50" i="5"/>
  <c r="BK50" i="5"/>
  <c r="BF50" i="5"/>
  <c r="BG50" i="5"/>
  <c r="BJ50" i="5"/>
  <c r="AY50" i="5"/>
  <c r="AZ50" i="5"/>
  <c r="BA50" i="5"/>
  <c r="AU50" i="5"/>
  <c r="BN50" i="5" s="1"/>
  <c r="AV50" i="5"/>
  <c r="BO50" i="5" s="1"/>
  <c r="CG42" i="5"/>
  <c r="CJ42" i="5"/>
  <c r="CH42" i="5"/>
  <c r="CE42" i="5"/>
  <c r="CF42" i="5"/>
  <c r="CC42" i="5"/>
  <c r="CD42" i="5"/>
  <c r="CI42" i="5"/>
  <c r="CK42" i="5"/>
  <c r="BY42" i="5"/>
  <c r="BW42" i="5"/>
  <c r="BZ42" i="5"/>
  <c r="BS42" i="5"/>
  <c r="BT42" i="5"/>
  <c r="BU42" i="5"/>
  <c r="BV42" i="5"/>
  <c r="BR42" i="5"/>
  <c r="CA42" i="5"/>
  <c r="BQ42" i="5"/>
  <c r="BX42" i="5"/>
  <c r="BG42" i="5"/>
  <c r="BL42" i="5"/>
  <c r="BI42" i="5"/>
  <c r="BK42" i="5"/>
  <c r="BE42" i="5"/>
  <c r="BF42" i="5"/>
  <c r="BJ42" i="5"/>
  <c r="BM42" i="5"/>
  <c r="AY42" i="5"/>
  <c r="BH42" i="5"/>
  <c r="AZ42" i="5"/>
  <c r="BA42" i="5"/>
  <c r="AU42" i="5"/>
  <c r="BN42" i="5" s="1"/>
  <c r="AV42" i="5"/>
  <c r="BO42" i="5" s="1"/>
  <c r="CE34" i="5"/>
  <c r="CI34" i="5"/>
  <c r="CC34" i="5"/>
  <c r="CD34" i="5"/>
  <c r="CA34" i="5"/>
  <c r="CF34" i="5"/>
  <c r="BV34" i="5"/>
  <c r="BY34" i="5"/>
  <c r="BS34" i="5"/>
  <c r="BT34" i="5"/>
  <c r="BU34" i="5"/>
  <c r="BF34" i="5"/>
  <c r="BG34" i="5"/>
  <c r="BW34" i="5"/>
  <c r="CK34" i="5"/>
  <c r="BI34" i="5"/>
  <c r="BR34" i="5"/>
  <c r="BQ34" i="5"/>
  <c r="BK34" i="5"/>
  <c r="BH34" i="5"/>
  <c r="BJ34" i="5"/>
  <c r="BE34" i="5"/>
  <c r="BM34" i="5"/>
  <c r="AY34" i="5"/>
  <c r="AZ34" i="5"/>
  <c r="BA34" i="5"/>
  <c r="AU34" i="5"/>
  <c r="BB34" i="5" s="1"/>
  <c r="AV34" i="5"/>
  <c r="BC34" i="5" s="1"/>
  <c r="CE26" i="5"/>
  <c r="CC26" i="5"/>
  <c r="CD26" i="5"/>
  <c r="CF26" i="5"/>
  <c r="CK26" i="5"/>
  <c r="BY26" i="5"/>
  <c r="BW26" i="5"/>
  <c r="CI26" i="5"/>
  <c r="BU26" i="5"/>
  <c r="BS26" i="5"/>
  <c r="CA26" i="5"/>
  <c r="BT26" i="5"/>
  <c r="BV26" i="5"/>
  <c r="BF26" i="5"/>
  <c r="BR26" i="5"/>
  <c r="BG26" i="5"/>
  <c r="BQ26" i="5"/>
  <c r="BI26" i="5"/>
  <c r="BJ26" i="5"/>
  <c r="BM26" i="5"/>
  <c r="BE26" i="5"/>
  <c r="BH26" i="5"/>
  <c r="AY26" i="5"/>
  <c r="AZ26" i="5"/>
  <c r="BA26" i="5"/>
  <c r="BK26" i="5"/>
  <c r="AU26" i="5"/>
  <c r="BN26" i="5" s="1"/>
  <c r="AV26" i="5"/>
  <c r="BO26" i="5" s="1"/>
  <c r="CE18" i="5"/>
  <c r="CC18" i="5"/>
  <c r="CK18" i="5"/>
  <c r="CD18" i="5"/>
  <c r="CI18" i="5"/>
  <c r="CA18" i="5"/>
  <c r="CF18" i="5"/>
  <c r="BV18" i="5"/>
  <c r="BY18" i="5"/>
  <c r="BW18" i="5"/>
  <c r="BT18" i="5"/>
  <c r="BS18" i="5"/>
  <c r="BU18" i="5"/>
  <c r="BR18" i="5"/>
  <c r="BQ18" i="5"/>
  <c r="BF18" i="5"/>
  <c r="BG18" i="5"/>
  <c r="BI18" i="5"/>
  <c r="BM18" i="5"/>
  <c r="BH18" i="5"/>
  <c r="BE18" i="5"/>
  <c r="BK18" i="5"/>
  <c r="BJ18" i="5"/>
  <c r="AY18" i="5"/>
  <c r="AZ18" i="5"/>
  <c r="BA18" i="5"/>
  <c r="AU18" i="5"/>
  <c r="BN18" i="5" s="1"/>
  <c r="AV18" i="5"/>
  <c r="BO18" i="5" s="1"/>
  <c r="CE10" i="5"/>
  <c r="CC10" i="5"/>
  <c r="CD10" i="5"/>
  <c r="CI10" i="5"/>
  <c r="CF10" i="5"/>
  <c r="CK10" i="5"/>
  <c r="CA10" i="5"/>
  <c r="BV10" i="5"/>
  <c r="BW10" i="5"/>
  <c r="BS10" i="5"/>
  <c r="BT10" i="5"/>
  <c r="BY10" i="5"/>
  <c r="BF10" i="5"/>
  <c r="BG10" i="5"/>
  <c r="BR10" i="5"/>
  <c r="BI10" i="5"/>
  <c r="BU10" i="5"/>
  <c r="BQ10" i="5"/>
  <c r="BK10" i="5"/>
  <c r="BE10" i="5"/>
  <c r="BJ10" i="5"/>
  <c r="BM10" i="5"/>
  <c r="AY10" i="5"/>
  <c r="AZ10" i="5"/>
  <c r="BA10" i="5"/>
  <c r="AU10" i="5"/>
  <c r="BN10" i="5" s="1"/>
  <c r="AV10" i="5"/>
  <c r="BO10" i="5" s="1"/>
  <c r="BH10" i="5"/>
  <c r="AT81" i="5"/>
  <c r="AT49" i="5"/>
  <c r="AT17" i="5"/>
  <c r="AX58" i="5"/>
  <c r="AW115" i="5"/>
  <c r="AW116" i="5" s="1"/>
  <c r="CL115" i="5"/>
  <c r="CL116" i="5" s="1"/>
  <c r="F52" i="12"/>
  <c r="F56" i="12" s="1"/>
  <c r="F60" i="12" s="1"/>
  <c r="E51" i="9"/>
  <c r="AT139" i="5" l="1"/>
  <c r="F15" i="11" s="1"/>
  <c r="F14" i="11"/>
  <c r="BA147" i="5"/>
  <c r="M22" i="11"/>
  <c r="AT133" i="5"/>
  <c r="F8" i="11"/>
  <c r="AY147" i="5"/>
  <c r="K22" i="11"/>
  <c r="AU141" i="5"/>
  <c r="G17" i="11" s="1"/>
  <c r="G16" i="11"/>
  <c r="AT147" i="5"/>
  <c r="F22" i="11"/>
  <c r="AX147" i="5"/>
  <c r="J22" i="11"/>
  <c r="AS141" i="5"/>
  <c r="E17" i="11" s="1"/>
  <c r="E16" i="11"/>
  <c r="AU139" i="5"/>
  <c r="G15" i="11" s="1"/>
  <c r="G14" i="11"/>
  <c r="AU133" i="5"/>
  <c r="G8" i="11"/>
  <c r="AU147" i="5"/>
  <c r="G22" i="11"/>
  <c r="AT141" i="5"/>
  <c r="F17" i="11" s="1"/>
  <c r="F16" i="11"/>
  <c r="AV147" i="5"/>
  <c r="H22" i="11"/>
  <c r="CH100" i="5"/>
  <c r="CH19" i="5"/>
  <c r="BA19" i="5"/>
  <c r="BP19" i="5" s="1"/>
  <c r="BM52" i="5"/>
  <c r="G11" i="17"/>
  <c r="AB11" i="17" s="1"/>
  <c r="BZ43" i="5"/>
  <c r="BK52" i="5"/>
  <c r="AS138" i="5"/>
  <c r="BG19" i="5"/>
  <c r="BA47" i="5"/>
  <c r="BP47" i="5" s="1"/>
  <c r="BQ36" i="5"/>
  <c r="AY47" i="5"/>
  <c r="AS134" i="5"/>
  <c r="AX151" i="5"/>
  <c r="J27" i="11" s="1"/>
  <c r="AU151" i="5"/>
  <c r="G27" i="11" s="1"/>
  <c r="AT151" i="5"/>
  <c r="F27" i="11" s="1"/>
  <c r="AT149" i="5"/>
  <c r="F25" i="11" s="1"/>
  <c r="AU149" i="5"/>
  <c r="G25" i="11" s="1"/>
  <c r="AX149" i="5"/>
  <c r="J25" i="11" s="1"/>
  <c r="AV149" i="5"/>
  <c r="H25" i="11" s="1"/>
  <c r="AY151" i="5"/>
  <c r="K27" i="11" s="1"/>
  <c r="AV151" i="5"/>
  <c r="H27" i="11" s="1"/>
  <c r="AY149" i="5"/>
  <c r="K25" i="11" s="1"/>
  <c r="BA149" i="5"/>
  <c r="M25" i="11" s="1"/>
  <c r="BA151" i="5"/>
  <c r="M27" i="11" s="1"/>
  <c r="CD79" i="5"/>
  <c r="AS136" i="5"/>
  <c r="AT135" i="5"/>
  <c r="F11" i="11" s="1"/>
  <c r="AT137" i="5"/>
  <c r="F13" i="11" s="1"/>
  <c r="AU135" i="5"/>
  <c r="G11" i="11" s="1"/>
  <c r="I11" i="17"/>
  <c r="I39" i="17" s="1"/>
  <c r="AB39" i="17" s="1"/>
  <c r="BL83" i="5"/>
  <c r="BG91" i="5"/>
  <c r="AS132" i="5"/>
  <c r="BH83" i="5"/>
  <c r="AU137" i="5"/>
  <c r="G13" i="11" s="1"/>
  <c r="BZ100" i="5"/>
  <c r="BL43" i="5"/>
  <c r="BK43" i="5"/>
  <c r="BQ95" i="5"/>
  <c r="BR71" i="5"/>
  <c r="BM47" i="5"/>
  <c r="CJ47" i="5"/>
  <c r="BI36" i="5"/>
  <c r="BW11" i="5"/>
  <c r="CK71" i="5"/>
  <c r="BZ103" i="5"/>
  <c r="AZ11" i="5"/>
  <c r="AY92" i="5"/>
  <c r="BK11" i="5"/>
  <c r="BR11" i="5"/>
  <c r="CF11" i="5"/>
  <c r="BH11" i="5"/>
  <c r="CK36" i="5"/>
  <c r="BZ36" i="5"/>
  <c r="CG47" i="5"/>
  <c r="AV11" i="5"/>
  <c r="BC11" i="5" s="1"/>
  <c r="BU11" i="5"/>
  <c r="CI92" i="5"/>
  <c r="BF11" i="5"/>
  <c r="CI93" i="5"/>
  <c r="CD95" i="5"/>
  <c r="BG44" i="5"/>
  <c r="BM19" i="5"/>
  <c r="BM44" i="5"/>
  <c r="BS19" i="5"/>
  <c r="BR43" i="5"/>
  <c r="AZ19" i="5"/>
  <c r="BQ44" i="5"/>
  <c r="BT19" i="5"/>
  <c r="AV95" i="5"/>
  <c r="BO95" i="5" s="1"/>
  <c r="BW44" i="5"/>
  <c r="CK19" i="5"/>
  <c r="BL100" i="5"/>
  <c r="AT123" i="5"/>
  <c r="AT124" i="5" s="1"/>
  <c r="AS123" i="5"/>
  <c r="AS124" i="5" s="1"/>
  <c r="H51" i="10"/>
  <c r="F75" i="17"/>
  <c r="F80" i="17" s="1"/>
  <c r="BX83" i="5"/>
  <c r="BD79" i="5"/>
  <c r="BT79" i="5"/>
  <c r="BZ83" i="5"/>
  <c r="BV91" i="5"/>
  <c r="BA83" i="5"/>
  <c r="BP83" i="5" s="1"/>
  <c r="CK83" i="5"/>
  <c r="BK100" i="5"/>
  <c r="CE91" i="5"/>
  <c r="CI79" i="5"/>
  <c r="AY91" i="5"/>
  <c r="BA91" i="5"/>
  <c r="BP91" i="5" s="1"/>
  <c r="CC83" i="5"/>
  <c r="BM100" i="5"/>
  <c r="AU100" i="5"/>
  <c r="BB100" i="5" s="1"/>
  <c r="AV83" i="5"/>
  <c r="BC83" i="5" s="1"/>
  <c r="CE100" i="5"/>
  <c r="BU7" i="5"/>
  <c r="BT55" i="5"/>
  <c r="BR63" i="5"/>
  <c r="BE12" i="5"/>
  <c r="H38" i="10"/>
  <c r="CE3" i="5"/>
  <c r="BJ100" i="5"/>
  <c r="CJ100" i="5"/>
  <c r="BX91" i="5"/>
  <c r="BU79" i="5"/>
  <c r="CH79" i="5"/>
  <c r="BF100" i="5"/>
  <c r="BD45" i="5"/>
  <c r="BV80" i="5"/>
  <c r="BQ83" i="5"/>
  <c r="CF83" i="5"/>
  <c r="BS100" i="5"/>
  <c r="CF100" i="5"/>
  <c r="BJ91" i="5"/>
  <c r="CH91" i="5"/>
  <c r="BG79" i="5"/>
  <c r="BW79" i="5"/>
  <c r="BS83" i="5"/>
  <c r="CJ83" i="5"/>
  <c r="BE100" i="5"/>
  <c r="BX100" i="5"/>
  <c r="BY100" i="5"/>
  <c r="CA91" i="5"/>
  <c r="BR79" i="5"/>
  <c r="BZ79" i="5"/>
  <c r="BH45" i="5"/>
  <c r="BF88" i="5"/>
  <c r="BU83" i="5"/>
  <c r="BR83" i="5"/>
  <c r="BI100" i="5"/>
  <c r="BQ100" i="5"/>
  <c r="CD100" i="5"/>
  <c r="BK91" i="5"/>
  <c r="AV79" i="5"/>
  <c r="BO79" i="5" s="1"/>
  <c r="BJ79" i="5"/>
  <c r="BX79" i="5"/>
  <c r="BF83" i="5"/>
  <c r="BV83" i="5"/>
  <c r="BG100" i="5"/>
  <c r="BV100" i="5"/>
  <c r="CC100" i="5"/>
  <c r="BN91" i="5"/>
  <c r="BM79" i="5"/>
  <c r="CA79" i="5"/>
  <c r="BE83" i="5"/>
  <c r="BY83" i="5"/>
  <c r="BT100" i="5"/>
  <c r="BU100" i="5"/>
  <c r="CI100" i="5"/>
  <c r="BU91" i="5"/>
  <c r="BI79" i="5"/>
  <c r="CE79" i="5"/>
  <c r="BN67" i="5"/>
  <c r="BR99" i="5"/>
  <c r="CI109" i="5"/>
  <c r="CI121" i="5" s="1"/>
  <c r="CI122" i="5" s="1"/>
  <c r="AT121" i="5"/>
  <c r="AT122" i="5" s="1"/>
  <c r="AS121" i="5"/>
  <c r="AS122" i="5" s="1"/>
  <c r="G11" i="14"/>
  <c r="E27" i="10"/>
  <c r="AB11" i="15"/>
  <c r="AB45" i="15" s="1"/>
  <c r="G39" i="15"/>
  <c r="AA11" i="15"/>
  <c r="J11" i="15"/>
  <c r="I11" i="14"/>
  <c r="I39" i="14" s="1"/>
  <c r="AB39" i="14" s="1"/>
  <c r="G27" i="10"/>
  <c r="F75" i="15"/>
  <c r="F80" i="15" s="1"/>
  <c r="F67" i="14"/>
  <c r="AY35" i="5"/>
  <c r="BL3" i="5"/>
  <c r="BK107" i="5"/>
  <c r="BR23" i="5"/>
  <c r="BX3" i="5"/>
  <c r="CH35" i="5"/>
  <c r="BV107" i="5"/>
  <c r="CC23" i="5"/>
  <c r="CC107" i="5"/>
  <c r="BD23" i="5"/>
  <c r="CB23" i="5" s="1"/>
  <c r="CK35" i="5"/>
  <c r="BZ3" i="5"/>
  <c r="CA3" i="5"/>
  <c r="AV3" i="5"/>
  <c r="BC3" i="5" s="1"/>
  <c r="BL35" i="5"/>
  <c r="CF12" i="5"/>
  <c r="CF84" i="5"/>
  <c r="BQ104" i="5"/>
  <c r="CI3" i="5"/>
  <c r="BM12" i="5"/>
  <c r="BD84" i="5"/>
  <c r="BJ107" i="5"/>
  <c r="AZ107" i="5"/>
  <c r="BH3" i="5"/>
  <c r="BQ35" i="5"/>
  <c r="BL107" i="5"/>
  <c r="BI4" i="5"/>
  <c r="BV68" i="5"/>
  <c r="BT87" i="5"/>
  <c r="BA7" i="5"/>
  <c r="BP7" i="5" s="1"/>
  <c r="CD7" i="5"/>
  <c r="BY55" i="5"/>
  <c r="AZ75" i="5"/>
  <c r="BE75" i="5"/>
  <c r="BF7" i="5"/>
  <c r="CG7" i="5"/>
  <c r="BD55" i="5"/>
  <c r="BZ55" i="5"/>
  <c r="CC7" i="5"/>
  <c r="CC55" i="5"/>
  <c r="BJ7" i="5"/>
  <c r="CI7" i="5"/>
  <c r="BG55" i="5"/>
  <c r="CE55" i="5"/>
  <c r="BM7" i="5"/>
  <c r="CF7" i="5"/>
  <c r="CG55" i="5"/>
  <c r="BK55" i="5"/>
  <c r="BG7" i="5"/>
  <c r="CH7" i="5"/>
  <c r="BL55" i="5"/>
  <c r="BS7" i="5"/>
  <c r="CJ7" i="5"/>
  <c r="BQ55" i="5"/>
  <c r="BI5" i="5"/>
  <c r="BA5" i="5"/>
  <c r="BP5" i="5" s="1"/>
  <c r="BI7" i="5"/>
  <c r="BX7" i="5"/>
  <c r="BH55" i="5"/>
  <c r="CA55" i="5"/>
  <c r="BE103" i="5"/>
  <c r="BA75" i="5"/>
  <c r="BP75" i="5" s="1"/>
  <c r="BM11" i="5"/>
  <c r="CD11" i="5"/>
  <c r="BH7" i="5"/>
  <c r="BZ7" i="5"/>
  <c r="BS55" i="5"/>
  <c r="CK55" i="5"/>
  <c r="BH103" i="5"/>
  <c r="CE11" i="5"/>
  <c r="CI11" i="5"/>
  <c r="BV92" i="5"/>
  <c r="AU53" i="5"/>
  <c r="BB53" i="5" s="1"/>
  <c r="CK5" i="5"/>
  <c r="CJ103" i="5"/>
  <c r="BT11" i="5"/>
  <c r="AY7" i="5"/>
  <c r="AV7" i="5"/>
  <c r="BC7" i="5" s="1"/>
  <c r="BR112" i="5"/>
  <c r="CF101" i="5"/>
  <c r="CI112" i="5"/>
  <c r="BE7" i="5"/>
  <c r="BW7" i="5"/>
  <c r="CK7" i="5"/>
  <c r="BR55" i="5"/>
  <c r="BV55" i="5"/>
  <c r="BT71" i="5"/>
  <c r="BQ11" i="5"/>
  <c r="BY11" i="5"/>
  <c r="BY75" i="5"/>
  <c r="AY55" i="5"/>
  <c r="BF93" i="5"/>
  <c r="BS112" i="5"/>
  <c r="BA101" i="5"/>
  <c r="BP101" i="5" s="1"/>
  <c r="BV99" i="5"/>
  <c r="BE68" i="5"/>
  <c r="CC4" i="5"/>
  <c r="BE99" i="5"/>
  <c r="BJ68" i="5"/>
  <c r="BA4" i="5"/>
  <c r="BP4" i="5" s="1"/>
  <c r="CK4" i="5"/>
  <c r="BW76" i="5"/>
  <c r="BM87" i="5"/>
  <c r="BE67" i="5"/>
  <c r="BY99" i="5"/>
  <c r="BX68" i="5"/>
  <c r="BA76" i="5"/>
  <c r="BP76" i="5" s="1"/>
  <c r="BY76" i="5"/>
  <c r="BF76" i="5"/>
  <c r="BS13" i="5"/>
  <c r="CG45" i="5"/>
  <c r="BW87" i="5"/>
  <c r="AZ100" i="5"/>
  <c r="BT67" i="5"/>
  <c r="BJ83" i="5"/>
  <c r="CA83" i="5"/>
  <c r="BQ99" i="5"/>
  <c r="CA68" i="5"/>
  <c r="BD100" i="5"/>
  <c r="CG100" i="5"/>
  <c r="BW100" i="5"/>
  <c r="CK91" i="5"/>
  <c r="CJ76" i="5"/>
  <c r="BS79" i="5"/>
  <c r="CG79" i="5"/>
  <c r="AY45" i="5"/>
  <c r="CK45" i="5"/>
  <c r="CD67" i="5"/>
  <c r="CI99" i="5"/>
  <c r="CE4" i="5"/>
  <c r="BI76" i="5"/>
  <c r="BI45" i="5"/>
  <c r="CG80" i="5"/>
  <c r="BY87" i="5"/>
  <c r="CC68" i="5"/>
  <c r="BJ4" i="5"/>
  <c r="AU68" i="5"/>
  <c r="BB68" i="5" s="1"/>
  <c r="CJ68" i="5"/>
  <c r="BA67" i="5"/>
  <c r="BP67" i="5" s="1"/>
  <c r="CA4" i="5"/>
  <c r="BL76" i="5"/>
  <c r="BQ45" i="5"/>
  <c r="BX67" i="5"/>
  <c r="BS76" i="5"/>
  <c r="BV45" i="5"/>
  <c r="BE112" i="5"/>
  <c r="CK21" i="5"/>
  <c r="AV88" i="5"/>
  <c r="BO88" i="5" s="1"/>
  <c r="CD45" i="5"/>
  <c r="BK7" i="5"/>
  <c r="BQ7" i="5"/>
  <c r="BY7" i="5"/>
  <c r="BM55" i="5"/>
  <c r="CD55" i="5"/>
  <c r="CJ55" i="5"/>
  <c r="BA55" i="5"/>
  <c r="BP55" i="5" s="1"/>
  <c r="CC63" i="5"/>
  <c r="BA53" i="5"/>
  <c r="BP53" i="5" s="1"/>
  <c r="BJ69" i="5"/>
  <c r="BG53" i="5"/>
  <c r="BS53" i="5"/>
  <c r="CA53" i="5"/>
  <c r="CF53" i="5"/>
  <c r="BD7" i="5"/>
  <c r="BL7" i="5"/>
  <c r="BV7" i="5"/>
  <c r="CE7" i="5"/>
  <c r="BE55" i="5"/>
  <c r="BU55" i="5"/>
  <c r="CI55" i="5"/>
  <c r="BI64" i="5"/>
  <c r="CC69" i="5"/>
  <c r="CK112" i="5"/>
  <c r="AY53" i="5"/>
  <c r="AU64" i="5"/>
  <c r="BN64" i="5" s="1"/>
  <c r="BW64" i="5"/>
  <c r="BT53" i="5"/>
  <c r="CE64" i="5"/>
  <c r="CD53" i="5"/>
  <c r="BY53" i="5"/>
  <c r="BR7" i="5"/>
  <c r="BT7" i="5"/>
  <c r="BJ55" i="5"/>
  <c r="BW55" i="5"/>
  <c r="BF53" i="5"/>
  <c r="BR53" i="5"/>
  <c r="BA64" i="5"/>
  <c r="BP64" i="5" s="1"/>
  <c r="BI69" i="5"/>
  <c r="CA69" i="5"/>
  <c r="BA112" i="5"/>
  <c r="BP112" i="5" s="1"/>
  <c r="AY64" i="5"/>
  <c r="BD53" i="5"/>
  <c r="BU53" i="5"/>
  <c r="BS64" i="5"/>
  <c r="BM101" i="5"/>
  <c r="BS69" i="5"/>
  <c r="BH53" i="5"/>
  <c r="BV53" i="5"/>
  <c r="BJ64" i="5"/>
  <c r="AZ69" i="5"/>
  <c r="BR69" i="5"/>
  <c r="AV69" i="5"/>
  <c r="BC69" i="5" s="1"/>
  <c r="BQ69" i="5"/>
  <c r="BJ53" i="5"/>
  <c r="CC53" i="5"/>
  <c r="BV64" i="5"/>
  <c r="AU69" i="5"/>
  <c r="BN69" i="5" s="1"/>
  <c r="CD69" i="5"/>
  <c r="BF69" i="5"/>
  <c r="BY69" i="5"/>
  <c r="BD69" i="5"/>
  <c r="CE69" i="5"/>
  <c r="BD76" i="5"/>
  <c r="BM112" i="5"/>
  <c r="BT101" i="5"/>
  <c r="BY112" i="5"/>
  <c r="BG21" i="5"/>
  <c r="CE101" i="5"/>
  <c r="BI87" i="5"/>
  <c r="CC87" i="5"/>
  <c r="AU76" i="5"/>
  <c r="BB76" i="5" s="1"/>
  <c r="AZ99" i="5"/>
  <c r="AV99" i="5"/>
  <c r="BO99" i="5" s="1"/>
  <c r="BF67" i="5"/>
  <c r="BK67" i="5"/>
  <c r="CE67" i="5"/>
  <c r="BF99" i="5"/>
  <c r="CK99" i="5"/>
  <c r="CA99" i="5"/>
  <c r="BM68" i="5"/>
  <c r="BW68" i="5"/>
  <c r="CH68" i="5"/>
  <c r="BA68" i="5"/>
  <c r="BP68" i="5" s="1"/>
  <c r="BK4" i="5"/>
  <c r="BU4" i="5"/>
  <c r="CI4" i="5"/>
  <c r="BG76" i="5"/>
  <c r="BM76" i="5"/>
  <c r="BX76" i="5"/>
  <c r="CK76" i="5"/>
  <c r="BF4" i="5"/>
  <c r="BJ13" i="5"/>
  <c r="CF13" i="5"/>
  <c r="BD87" i="5"/>
  <c r="BR87" i="5"/>
  <c r="CA87" i="5"/>
  <c r="AY4" i="5"/>
  <c r="AV67" i="5"/>
  <c r="BC67" i="5" s="1"/>
  <c r="BJ67" i="5"/>
  <c r="BU67" i="5"/>
  <c r="CF67" i="5"/>
  <c r="BI99" i="5"/>
  <c r="BU99" i="5"/>
  <c r="CF99" i="5"/>
  <c r="BD68" i="5"/>
  <c r="BS68" i="5"/>
  <c r="BY68" i="5"/>
  <c r="CG68" i="5"/>
  <c r="BM4" i="5"/>
  <c r="BW4" i="5"/>
  <c r="BH76" i="5"/>
  <c r="BR76" i="5"/>
  <c r="CD76" i="5"/>
  <c r="BD32" i="5"/>
  <c r="BR13" i="5"/>
  <c r="BD67" i="5"/>
  <c r="CA67" i="5"/>
  <c r="CH67" i="5"/>
  <c r="BJ99" i="5"/>
  <c r="BK99" i="5"/>
  <c r="BW99" i="5"/>
  <c r="BH68" i="5"/>
  <c r="BR68" i="5"/>
  <c r="BZ68" i="5"/>
  <c r="CI68" i="5"/>
  <c r="BE4" i="5"/>
  <c r="BS4" i="5"/>
  <c r="BV4" i="5"/>
  <c r="BV76" i="5"/>
  <c r="BQ76" i="5"/>
  <c r="CG76" i="5"/>
  <c r="BK32" i="5"/>
  <c r="BE13" i="5"/>
  <c r="BW13" i="5"/>
  <c r="BM99" i="5"/>
  <c r="BS87" i="5"/>
  <c r="AY68" i="5"/>
  <c r="BG67" i="5"/>
  <c r="CJ67" i="5"/>
  <c r="BN99" i="5"/>
  <c r="CE99" i="5"/>
  <c r="BG68" i="5"/>
  <c r="BQ68" i="5"/>
  <c r="CE68" i="5"/>
  <c r="CK68" i="5"/>
  <c r="BD4" i="5"/>
  <c r="BY4" i="5"/>
  <c r="CA76" i="5"/>
  <c r="BS32" i="5"/>
  <c r="AY13" i="5"/>
  <c r="BY13" i="5"/>
  <c r="BK87" i="5"/>
  <c r="BQ87" i="5"/>
  <c r="CF87" i="5"/>
  <c r="AZ68" i="5"/>
  <c r="BQ67" i="5"/>
  <c r="CK67" i="5"/>
  <c r="CG67" i="5"/>
  <c r="BH99" i="5"/>
  <c r="BT99" i="5"/>
  <c r="CD99" i="5"/>
  <c r="BL68" i="5"/>
  <c r="BT68" i="5"/>
  <c r="CD68" i="5"/>
  <c r="BH4" i="5"/>
  <c r="BQ4" i="5"/>
  <c r="CD4" i="5"/>
  <c r="BK76" i="5"/>
  <c r="CF76" i="5"/>
  <c r="CH76" i="5"/>
  <c r="BA87" i="5"/>
  <c r="BP87" i="5" s="1"/>
  <c r="BU32" i="5"/>
  <c r="BD13" i="5"/>
  <c r="CD13" i="5"/>
  <c r="BF87" i="5"/>
  <c r="CE87" i="5"/>
  <c r="BA99" i="5"/>
  <c r="BP99" i="5" s="1"/>
  <c r="BE87" i="5"/>
  <c r="BU87" i="5"/>
  <c r="CI87" i="5"/>
  <c r="AY76" i="5"/>
  <c r="AZ4" i="5"/>
  <c r="BS67" i="5"/>
  <c r="BD99" i="5"/>
  <c r="BR4" i="5"/>
  <c r="BT76" i="5"/>
  <c r="CE76" i="5"/>
  <c r="BJ87" i="5"/>
  <c r="BV87" i="5"/>
  <c r="CK87" i="5"/>
  <c r="AY99" i="5"/>
  <c r="AZ67" i="5"/>
  <c r="AZ76" i="5"/>
  <c r="BL67" i="5"/>
  <c r="BY67" i="5"/>
  <c r="BG99" i="5"/>
  <c r="BS99" i="5"/>
  <c r="CC99" i="5"/>
  <c r="BK68" i="5"/>
  <c r="BU68" i="5"/>
  <c r="BG4" i="5"/>
  <c r="BT4" i="5"/>
  <c r="CF4" i="5"/>
  <c r="BE76" i="5"/>
  <c r="BJ76" i="5"/>
  <c r="BZ76" i="5"/>
  <c r="BY32" i="5"/>
  <c r="BF13" i="5"/>
  <c r="CC13" i="5"/>
  <c r="BG13" i="5"/>
  <c r="CE13" i="5"/>
  <c r="BR44" i="5"/>
  <c r="BS52" i="5"/>
  <c r="BD19" i="5"/>
  <c r="BY19" i="5"/>
  <c r="BU43" i="5"/>
  <c r="BG40" i="5"/>
  <c r="BV44" i="5"/>
  <c r="BJ19" i="5"/>
  <c r="CJ19" i="5"/>
  <c r="CD43" i="5"/>
  <c r="CK40" i="5"/>
  <c r="BE44" i="5"/>
  <c r="CC44" i="5"/>
  <c r="BN19" i="5"/>
  <c r="BH43" i="5"/>
  <c r="CK43" i="5"/>
  <c r="BF95" i="5"/>
  <c r="BD44" i="5"/>
  <c r="BG52" i="5"/>
  <c r="CA19" i="5"/>
  <c r="BF43" i="5"/>
  <c r="CI43" i="5"/>
  <c r="BE95" i="5"/>
  <c r="AY11" i="5"/>
  <c r="AZ83" i="5"/>
  <c r="BF44" i="5"/>
  <c r="AV43" i="5"/>
  <c r="BC43" i="5" s="1"/>
  <c r="BI83" i="5"/>
  <c r="BK83" i="5"/>
  <c r="CH83" i="5"/>
  <c r="CG83" i="5"/>
  <c r="BH44" i="5"/>
  <c r="CD44" i="5"/>
  <c r="CF52" i="5"/>
  <c r="BB19" i="5"/>
  <c r="BE11" i="5"/>
  <c r="BV11" i="5"/>
  <c r="CC11" i="5"/>
  <c r="BL19" i="5"/>
  <c r="BW19" i="5"/>
  <c r="BE43" i="5"/>
  <c r="BY43" i="5"/>
  <c r="BH91" i="5"/>
  <c r="BQ91" i="5"/>
  <c r="CD91" i="5"/>
  <c r="BF79" i="5"/>
  <c r="BH79" i="5"/>
  <c r="BV79" i="5"/>
  <c r="CF79" i="5"/>
  <c r="CA95" i="5"/>
  <c r="BW112" i="5"/>
  <c r="BU112" i="5"/>
  <c r="AZ101" i="5"/>
  <c r="BI101" i="5"/>
  <c r="BX101" i="5"/>
  <c r="BA45" i="5"/>
  <c r="BP45" i="5" s="1"/>
  <c r="BL45" i="5"/>
  <c r="BS45" i="5"/>
  <c r="BY45" i="5"/>
  <c r="CI45" i="5"/>
  <c r="CE80" i="5"/>
  <c r="AY19" i="5"/>
  <c r="AU52" i="5"/>
  <c r="BB52" i="5" s="1"/>
  <c r="AZ91" i="5"/>
  <c r="BA11" i="5"/>
  <c r="BP11" i="5" s="1"/>
  <c r="AZ44" i="5"/>
  <c r="AV19" i="5"/>
  <c r="BO19" i="5" s="1"/>
  <c r="BD83" i="5"/>
  <c r="CB83" i="5" s="1"/>
  <c r="BT83" i="5"/>
  <c r="BW83" i="5"/>
  <c r="CI83" i="5"/>
  <c r="BJ44" i="5"/>
  <c r="CE44" i="5"/>
  <c r="BV52" i="5"/>
  <c r="BB91" i="5"/>
  <c r="BD11" i="5"/>
  <c r="BS11" i="5"/>
  <c r="CK11" i="5"/>
  <c r="BQ19" i="5"/>
  <c r="CD19" i="5"/>
  <c r="BM43" i="5"/>
  <c r="BW43" i="5"/>
  <c r="BE91" i="5"/>
  <c r="BY91" i="5"/>
  <c r="CC91" i="5"/>
  <c r="BE79" i="5"/>
  <c r="BL79" i="5"/>
  <c r="BY79" i="5"/>
  <c r="CK79" i="5"/>
  <c r="CK95" i="5"/>
  <c r="BJ112" i="5"/>
  <c r="BV112" i="5"/>
  <c r="BE40" i="5"/>
  <c r="AV101" i="5"/>
  <c r="BC101" i="5" s="1"/>
  <c r="BL101" i="5"/>
  <c r="CI101" i="5"/>
  <c r="AZ45" i="5"/>
  <c r="BG45" i="5"/>
  <c r="BR45" i="5"/>
  <c r="CJ45" i="5"/>
  <c r="CF45" i="5"/>
  <c r="CH80" i="5"/>
  <c r="AY83" i="5"/>
  <c r="BM83" i="5"/>
  <c r="CE83" i="5"/>
  <c r="CD83" i="5"/>
  <c r="BS44" i="5"/>
  <c r="CK44" i="5"/>
  <c r="BI11" i="5"/>
  <c r="BE19" i="5"/>
  <c r="BU19" i="5"/>
  <c r="CC19" i="5"/>
  <c r="CA43" i="5"/>
  <c r="CF43" i="5"/>
  <c r="BM91" i="5"/>
  <c r="CG91" i="5"/>
  <c r="CI91" i="5"/>
  <c r="AY79" i="5"/>
  <c r="BA79" i="5"/>
  <c r="BP79" i="5" s="1"/>
  <c r="BE63" i="5"/>
  <c r="BK79" i="5"/>
  <c r="BQ79" i="5"/>
  <c r="CC79" i="5"/>
  <c r="BI112" i="5"/>
  <c r="CD112" i="5"/>
  <c r="BQ40" i="5"/>
  <c r="AV21" i="5"/>
  <c r="BC21" i="5" s="1"/>
  <c r="BD101" i="5"/>
  <c r="BR101" i="5"/>
  <c r="CH101" i="5"/>
  <c r="AV45" i="5"/>
  <c r="BO45" i="5" s="1"/>
  <c r="BK45" i="5"/>
  <c r="BX45" i="5"/>
  <c r="CC45" i="5"/>
  <c r="BE80" i="5"/>
  <c r="AU112" i="5"/>
  <c r="BN112" i="5" s="1"/>
  <c r="BH112" i="5"/>
  <c r="CE112" i="5"/>
  <c r="BV40" i="5"/>
  <c r="BH21" i="5"/>
  <c r="BH101" i="5"/>
  <c r="CD101" i="5"/>
  <c r="CK101" i="5"/>
  <c r="BE45" i="5"/>
  <c r="BJ45" i="5"/>
  <c r="BW45" i="5"/>
  <c r="BZ45" i="5"/>
  <c r="BK80" i="5"/>
  <c r="AU83" i="5"/>
  <c r="BN83" i="5" s="1"/>
  <c r="BG101" i="5"/>
  <c r="BV101" i="5"/>
  <c r="AU45" i="5"/>
  <c r="BB45" i="5" s="1"/>
  <c r="BM45" i="5"/>
  <c r="BU45" i="5"/>
  <c r="CA45" i="5"/>
  <c r="BS80" i="5"/>
  <c r="BF112" i="5"/>
  <c r="BT112" i="5"/>
  <c r="CF112" i="5"/>
  <c r="CE40" i="5"/>
  <c r="BW101" i="5"/>
  <c r="BU101" i="5"/>
  <c r="AY80" i="5"/>
  <c r="BF45" i="5"/>
  <c r="BT45" i="5"/>
  <c r="CE45" i="5"/>
  <c r="BP44" i="5"/>
  <c r="CA44" i="5"/>
  <c r="CF44" i="5"/>
  <c r="BU52" i="5"/>
  <c r="BH19" i="5"/>
  <c r="CG19" i="5"/>
  <c r="BR19" i="5"/>
  <c r="CE19" i="5"/>
  <c r="BD43" i="5"/>
  <c r="BT43" i="5"/>
  <c r="CE43" i="5"/>
  <c r="CE75" i="5"/>
  <c r="BM95" i="5"/>
  <c r="AY40" i="5"/>
  <c r="BD40" i="5"/>
  <c r="BU40" i="5"/>
  <c r="BJ75" i="5"/>
  <c r="AZ43" i="5"/>
  <c r="AY44" i="5"/>
  <c r="BA43" i="5"/>
  <c r="BP43" i="5" s="1"/>
  <c r="AY52" i="5"/>
  <c r="BK44" i="5"/>
  <c r="BU44" i="5"/>
  <c r="CI44" i="5"/>
  <c r="BW52" i="5"/>
  <c r="BI19" i="5"/>
  <c r="BK19" i="5"/>
  <c r="BV19" i="5"/>
  <c r="CF19" i="5"/>
  <c r="BG43" i="5"/>
  <c r="BS43" i="5"/>
  <c r="CC43" i="5"/>
  <c r="BI95" i="5"/>
  <c r="BS40" i="5"/>
  <c r="CD40" i="5"/>
  <c r="BK40" i="5"/>
  <c r="BW40" i="5"/>
  <c r="BL40" i="5"/>
  <c r="CF40" i="5"/>
  <c r="AY43" i="5"/>
  <c r="BI44" i="5"/>
  <c r="BT44" i="5"/>
  <c r="BY44" i="5"/>
  <c r="BI52" i="5"/>
  <c r="CI52" i="5"/>
  <c r="BF19" i="5"/>
  <c r="BX19" i="5"/>
  <c r="BZ19" i="5"/>
  <c r="CI19" i="5"/>
  <c r="BQ43" i="5"/>
  <c r="BX43" i="5"/>
  <c r="CJ43" i="5"/>
  <c r="BA63" i="5"/>
  <c r="BP63" i="5" s="1"/>
  <c r="BH40" i="5"/>
  <c r="CH40" i="5"/>
  <c r="AV80" i="5"/>
  <c r="BC80" i="5" s="1"/>
  <c r="AT119" i="5"/>
  <c r="AT120" i="5" s="1"/>
  <c r="AS119" i="5"/>
  <c r="AS120" i="5" s="1"/>
  <c r="G11" i="13"/>
  <c r="E16" i="10"/>
  <c r="I11" i="13"/>
  <c r="I39" i="13" s="1"/>
  <c r="AB39" i="13" s="1"/>
  <c r="G16" i="10"/>
  <c r="AX119" i="5"/>
  <c r="AX120" i="5" s="1"/>
  <c r="F67" i="13"/>
  <c r="BP10" i="5"/>
  <c r="BX10" i="5" s="1"/>
  <c r="AY3" i="5"/>
  <c r="AY107" i="5"/>
  <c r="AZ3" i="5"/>
  <c r="BG3" i="5"/>
  <c r="BY3" i="5"/>
  <c r="BW3" i="5"/>
  <c r="CK84" i="5"/>
  <c r="BF107" i="5"/>
  <c r="BN107" i="5"/>
  <c r="BY107" i="5"/>
  <c r="CF107" i="5"/>
  <c r="BK36" i="5"/>
  <c r="CF36" i="5"/>
  <c r="CD36" i="5"/>
  <c r="BD47" i="5"/>
  <c r="BI47" i="5"/>
  <c r="BT47" i="5"/>
  <c r="CI47" i="5"/>
  <c r="BR104" i="5"/>
  <c r="BI24" i="5"/>
  <c r="CC36" i="5"/>
  <c r="BX47" i="5"/>
  <c r="BR24" i="5"/>
  <c r="BA3" i="5"/>
  <c r="BP3" i="5" s="1"/>
  <c r="AV107" i="5"/>
  <c r="BO107" i="5" s="1"/>
  <c r="BI3" i="5"/>
  <c r="BT3" i="5"/>
  <c r="BU3" i="5"/>
  <c r="CD3" i="5"/>
  <c r="BT84" i="5"/>
  <c r="BD107" i="5"/>
  <c r="BT107" i="5"/>
  <c r="BW107" i="5"/>
  <c r="CG107" i="5"/>
  <c r="BL36" i="5"/>
  <c r="CA36" i="5"/>
  <c r="CE36" i="5"/>
  <c r="BF47" i="5"/>
  <c r="BH47" i="5"/>
  <c r="BV47" i="5"/>
  <c r="CK47" i="5"/>
  <c r="BA104" i="5"/>
  <c r="BP104" i="5" s="1"/>
  <c r="BZ104" i="5"/>
  <c r="BX24" i="5"/>
  <c r="BE107" i="5"/>
  <c r="BU36" i="5"/>
  <c r="BG47" i="5"/>
  <c r="CF47" i="5"/>
  <c r="BW104" i="5"/>
  <c r="AY36" i="5"/>
  <c r="BA107" i="5"/>
  <c r="BP107" i="5" s="1"/>
  <c r="BE47" i="5"/>
  <c r="BS47" i="5"/>
  <c r="BY47" i="5"/>
  <c r="CE47" i="5"/>
  <c r="BD104" i="5"/>
  <c r="CA104" i="5"/>
  <c r="BK96" i="5"/>
  <c r="BF3" i="5"/>
  <c r="BQ3" i="5"/>
  <c r="BS3" i="5"/>
  <c r="CF3" i="5"/>
  <c r="BM84" i="5"/>
  <c r="BG107" i="5"/>
  <c r="BS107" i="5"/>
  <c r="CA107" i="5"/>
  <c r="CI107" i="5"/>
  <c r="BE36" i="5"/>
  <c r="BM36" i="5"/>
  <c r="BW36" i="5"/>
  <c r="CG36" i="5"/>
  <c r="BU47" i="5"/>
  <c r="BQ47" i="5"/>
  <c r="CC47" i="5"/>
  <c r="CH47" i="5"/>
  <c r="BT104" i="5"/>
  <c r="CH104" i="5"/>
  <c r="BG96" i="5"/>
  <c r="BE3" i="5"/>
  <c r="CK3" i="5"/>
  <c r="BV3" i="5"/>
  <c r="CC3" i="5"/>
  <c r="CE84" i="5"/>
  <c r="BB107" i="5"/>
  <c r="BI107" i="5"/>
  <c r="BR107" i="5"/>
  <c r="CE107" i="5"/>
  <c r="BD36" i="5"/>
  <c r="BT36" i="5"/>
  <c r="BV36" i="5"/>
  <c r="CH36" i="5"/>
  <c r="AZ36" i="5"/>
  <c r="BJ3" i="5"/>
  <c r="BK3" i="5"/>
  <c r="BR3" i="5"/>
  <c r="CJ3" i="5"/>
  <c r="BU84" i="5"/>
  <c r="BM107" i="5"/>
  <c r="BZ107" i="5"/>
  <c r="CD107" i="5"/>
  <c r="BG36" i="5"/>
  <c r="BS36" i="5"/>
  <c r="BX36" i="5"/>
  <c r="CI36" i="5"/>
  <c r="BM3" i="5"/>
  <c r="BK47" i="5"/>
  <c r="BW47" i="5"/>
  <c r="BZ47" i="5"/>
  <c r="BJ104" i="5"/>
  <c r="CG104" i="5"/>
  <c r="CD96" i="5"/>
  <c r="BU107" i="5"/>
  <c r="BX107" i="5"/>
  <c r="CK107" i="5"/>
  <c r="BJ36" i="5"/>
  <c r="BR47" i="5"/>
  <c r="AY104" i="5"/>
  <c r="BL47" i="5"/>
  <c r="BF36" i="5"/>
  <c r="BD3" i="5"/>
  <c r="BN3" i="5"/>
  <c r="CH3" i="5"/>
  <c r="CG3" i="5"/>
  <c r="BY84" i="5"/>
  <c r="BA36" i="5"/>
  <c r="BP36" i="5" s="1"/>
  <c r="BH107" i="5"/>
  <c r="BQ107" i="5"/>
  <c r="CJ107" i="5"/>
  <c r="CH107" i="5"/>
  <c r="BH36" i="5"/>
  <c r="BR36" i="5"/>
  <c r="BY36" i="5"/>
  <c r="AV47" i="5"/>
  <c r="BO47" i="5" s="1"/>
  <c r="BJ47" i="5"/>
  <c r="CD47" i="5"/>
  <c r="BH104" i="5"/>
  <c r="CK96" i="5"/>
  <c r="BG77" i="5"/>
  <c r="CA77" i="5"/>
  <c r="BT51" i="5"/>
  <c r="BY20" i="5"/>
  <c r="BO92" i="5"/>
  <c r="BQ103" i="5"/>
  <c r="CC103" i="5"/>
  <c r="CG103" i="5"/>
  <c r="AZ35" i="5"/>
  <c r="BG71" i="5"/>
  <c r="BD35" i="5"/>
  <c r="BY23" i="5"/>
  <c r="CE71" i="5"/>
  <c r="BG35" i="5"/>
  <c r="BA12" i="5"/>
  <c r="BP12" i="5" s="1"/>
  <c r="BE92" i="5"/>
  <c r="BJ92" i="5"/>
  <c r="BW92" i="5"/>
  <c r="AY103" i="5"/>
  <c r="AV71" i="5"/>
  <c r="BC71" i="5" s="1"/>
  <c r="BM93" i="5"/>
  <c r="BF5" i="5"/>
  <c r="BQ5" i="5"/>
  <c r="BV23" i="5"/>
  <c r="BI71" i="5"/>
  <c r="CE103" i="5"/>
  <c r="BD12" i="5"/>
  <c r="BW12" i="5"/>
  <c r="BS23" i="5"/>
  <c r="BH71" i="5"/>
  <c r="BS103" i="5"/>
  <c r="BU23" i="5"/>
  <c r="BV71" i="5"/>
  <c r="BU103" i="5"/>
  <c r="CA103" i="5"/>
  <c r="AV35" i="5"/>
  <c r="BC35" i="5" s="1"/>
  <c r="BH35" i="5"/>
  <c r="BR35" i="5"/>
  <c r="CJ35" i="5"/>
  <c r="BI12" i="5"/>
  <c r="CA12" i="5"/>
  <c r="CD12" i="5"/>
  <c r="BG92" i="5"/>
  <c r="BM92" i="5"/>
  <c r="BY92" i="5"/>
  <c r="BR93" i="5"/>
  <c r="BD5" i="5"/>
  <c r="CB5" i="5" s="1"/>
  <c r="BT5" i="5"/>
  <c r="BW35" i="5"/>
  <c r="BV12" i="5"/>
  <c r="BS71" i="5"/>
  <c r="BA71" i="5"/>
  <c r="BP71" i="5" s="1"/>
  <c r="BJ23" i="5"/>
  <c r="BQ23" i="5"/>
  <c r="CI23" i="5"/>
  <c r="BE71" i="5"/>
  <c r="CD71" i="5"/>
  <c r="BY71" i="5"/>
  <c r="BJ103" i="5"/>
  <c r="BV103" i="5"/>
  <c r="CI103" i="5"/>
  <c r="BF92" i="5"/>
  <c r="AZ92" i="5"/>
  <c r="BI35" i="5"/>
  <c r="BV35" i="5"/>
  <c r="BZ35" i="5"/>
  <c r="BH12" i="5"/>
  <c r="BR12" i="5"/>
  <c r="CC12" i="5"/>
  <c r="BD92" i="5"/>
  <c r="BT92" i="5"/>
  <c r="CE92" i="5"/>
  <c r="AY23" i="5"/>
  <c r="AV23" i="5"/>
  <c r="BC23" i="5" s="1"/>
  <c r="BU93" i="5"/>
  <c r="BH5" i="5"/>
  <c r="BV5" i="5"/>
  <c r="CE35" i="5"/>
  <c r="BM23" i="5"/>
  <c r="BW23" i="5"/>
  <c r="CF23" i="5"/>
  <c r="BK71" i="5"/>
  <c r="BQ71" i="5"/>
  <c r="CA71" i="5"/>
  <c r="BM103" i="5"/>
  <c r="BX103" i="5"/>
  <c r="CF103" i="5"/>
  <c r="BW93" i="5"/>
  <c r="BL5" i="5"/>
  <c r="CC5" i="5"/>
  <c r="BG23" i="5"/>
  <c r="BW71" i="5"/>
  <c r="BY35" i="5"/>
  <c r="BK92" i="5"/>
  <c r="CK92" i="5"/>
  <c r="BS35" i="5"/>
  <c r="BF12" i="5"/>
  <c r="BK23" i="5"/>
  <c r="CA23" i="5"/>
  <c r="BF71" i="5"/>
  <c r="BW103" i="5"/>
  <c r="CI71" i="5"/>
  <c r="CA35" i="5"/>
  <c r="AZ93" i="5"/>
  <c r="CD93" i="5"/>
  <c r="BM5" i="5"/>
  <c r="CJ5" i="5"/>
  <c r="BF23" i="5"/>
  <c r="CI35" i="5"/>
  <c r="BT12" i="5"/>
  <c r="BU92" i="5"/>
  <c r="BE23" i="5"/>
  <c r="BD71" i="5"/>
  <c r="BK103" i="5"/>
  <c r="BY103" i="5"/>
  <c r="AY12" i="5"/>
  <c r="BS12" i="5"/>
  <c r="BF35" i="5"/>
  <c r="BT35" i="5"/>
  <c r="BX35" i="5"/>
  <c r="CD35" i="5"/>
  <c r="CE12" i="5"/>
  <c r="BQ12" i="5"/>
  <c r="CI12" i="5"/>
  <c r="BI92" i="5"/>
  <c r="BS92" i="5"/>
  <c r="CF92" i="5"/>
  <c r="G5" i="10"/>
  <c r="BI23" i="5"/>
  <c r="CD23" i="5"/>
  <c r="CK23" i="5"/>
  <c r="BJ71" i="5"/>
  <c r="BU71" i="5"/>
  <c r="BD103" i="5"/>
  <c r="BI103" i="5"/>
  <c r="CD103" i="5"/>
  <c r="CH103" i="5"/>
  <c r="BA35" i="5"/>
  <c r="BP35" i="5" s="1"/>
  <c r="BE35" i="5"/>
  <c r="BU35" i="5"/>
  <c r="CC35" i="5"/>
  <c r="BK12" i="5"/>
  <c r="BU12" i="5"/>
  <c r="CK12" i="5"/>
  <c r="BA92" i="5"/>
  <c r="BP92" i="5" s="1"/>
  <c r="BH92" i="5"/>
  <c r="BR92" i="5"/>
  <c r="CD92" i="5"/>
  <c r="BA103" i="5"/>
  <c r="BP103" i="5" s="1"/>
  <c r="BH23" i="5"/>
  <c r="BT23" i="5"/>
  <c r="CE23" i="5"/>
  <c r="BM71" i="5"/>
  <c r="CC71" i="5"/>
  <c r="CF71" i="5"/>
  <c r="BF103" i="5"/>
  <c r="BL103" i="5"/>
  <c r="BT103" i="5"/>
  <c r="CK103" i="5"/>
  <c r="AU92" i="5"/>
  <c r="BN92" i="5" s="1"/>
  <c r="AZ12" i="5"/>
  <c r="BJ35" i="5"/>
  <c r="BK35" i="5"/>
  <c r="CF35" i="5"/>
  <c r="BG12" i="5"/>
  <c r="BJ12" i="5"/>
  <c r="CA92" i="5"/>
  <c r="BQ92" i="5"/>
  <c r="CC92" i="5"/>
  <c r="AY71" i="5"/>
  <c r="AU93" i="5"/>
  <c r="BB93" i="5" s="1"/>
  <c r="CH93" i="5"/>
  <c r="BJ77" i="5"/>
  <c r="AU5" i="5"/>
  <c r="BN5" i="5" s="1"/>
  <c r="BX5" i="5"/>
  <c r="CA5" i="5"/>
  <c r="BJ93" i="5"/>
  <c r="CK93" i="5"/>
  <c r="AV5" i="5"/>
  <c r="BO5" i="5" s="1"/>
  <c r="BR5" i="5"/>
  <c r="AU71" i="5"/>
  <c r="BB71" i="5" s="1"/>
  <c r="BE5" i="5"/>
  <c r="CD5" i="5"/>
  <c r="CE5" i="5"/>
  <c r="CG5" i="5"/>
  <c r="AY5" i="5"/>
  <c r="BK5" i="5"/>
  <c r="BU5" i="5"/>
  <c r="CI5" i="5"/>
  <c r="BZ5" i="5"/>
  <c r="BJ5" i="5"/>
  <c r="BW5" i="5"/>
  <c r="CF5" i="5"/>
  <c r="BH69" i="5"/>
  <c r="BT69" i="5"/>
  <c r="CF69" i="5"/>
  <c r="BM64" i="5"/>
  <c r="BA69" i="5"/>
  <c r="BP69" i="5" s="1"/>
  <c r="BG69" i="5"/>
  <c r="BW69" i="5"/>
  <c r="CK69" i="5"/>
  <c r="AY69" i="5"/>
  <c r="BM69" i="5"/>
  <c r="BV69" i="5"/>
  <c r="BR109" i="5"/>
  <c r="BR121" i="5" s="1"/>
  <c r="BR122" i="5" s="1"/>
  <c r="CE31" i="5"/>
  <c r="AY27" i="5"/>
  <c r="CE108" i="5"/>
  <c r="BA72" i="5"/>
  <c r="BP72" i="5" s="1"/>
  <c r="BD51" i="5"/>
  <c r="CG51" i="5"/>
  <c r="BU20" i="5"/>
  <c r="BR72" i="5"/>
  <c r="CK72" i="5"/>
  <c r="AU72" i="5"/>
  <c r="BB72" i="5" s="1"/>
  <c r="BG72" i="5"/>
  <c r="CF72" i="5"/>
  <c r="AU13" i="5"/>
  <c r="BN13" i="5" s="1"/>
  <c r="BI13" i="5"/>
  <c r="BV13" i="5"/>
  <c r="AZ77" i="5"/>
  <c r="CE77" i="5"/>
  <c r="CD88" i="5"/>
  <c r="BH77" i="5"/>
  <c r="CI77" i="5"/>
  <c r="BE72" i="5"/>
  <c r="BT72" i="5"/>
  <c r="BX39" i="5"/>
  <c r="BD72" i="5"/>
  <c r="BY72" i="5"/>
  <c r="BR32" i="5"/>
  <c r="BA13" i="5"/>
  <c r="BP13" i="5" s="1"/>
  <c r="BH13" i="5"/>
  <c r="BQ13" i="5"/>
  <c r="CA13" i="5"/>
  <c r="BK77" i="5"/>
  <c r="CF77" i="5"/>
  <c r="BK72" i="5"/>
  <c r="BX72" i="5"/>
  <c r="BA59" i="5"/>
  <c r="BP59" i="5" s="1"/>
  <c r="BJ72" i="5"/>
  <c r="CA72" i="5"/>
  <c r="AZ13" i="5"/>
  <c r="BK13" i="5"/>
  <c r="BU13" i="5"/>
  <c r="CI13" i="5"/>
  <c r="BR77" i="5"/>
  <c r="BI88" i="5"/>
  <c r="CK20" i="5"/>
  <c r="AV29" i="5"/>
  <c r="BO29" i="5" s="1"/>
  <c r="BI72" i="5"/>
  <c r="BZ72" i="5"/>
  <c r="CA32" i="5"/>
  <c r="AU77" i="5"/>
  <c r="BN77" i="5" s="1"/>
  <c r="BT77" i="5"/>
  <c r="BH88" i="5"/>
  <c r="BG59" i="5"/>
  <c r="BX59" i="5"/>
  <c r="CK59" i="5"/>
  <c r="BP74" i="5"/>
  <c r="CB74" i="5" s="1"/>
  <c r="CD61" i="5"/>
  <c r="BS72" i="5"/>
  <c r="CG72" i="5"/>
  <c r="CI32" i="5"/>
  <c r="AV13" i="5"/>
  <c r="BC13" i="5" s="1"/>
  <c r="BM13" i="5"/>
  <c r="BT13" i="5"/>
  <c r="BE77" i="5"/>
  <c r="BU77" i="5"/>
  <c r="BW88" i="5"/>
  <c r="BI61" i="5"/>
  <c r="BM72" i="5"/>
  <c r="CC72" i="5"/>
  <c r="BU60" i="5"/>
  <c r="AV72" i="5"/>
  <c r="BO72" i="5" s="1"/>
  <c r="BF72" i="5"/>
  <c r="BU72" i="5"/>
  <c r="BW72" i="5"/>
  <c r="CJ72" i="5"/>
  <c r="BJ60" i="5"/>
  <c r="AV27" i="5"/>
  <c r="BC27" i="5" s="1"/>
  <c r="CE60" i="5"/>
  <c r="AU61" i="5"/>
  <c r="BN61" i="5" s="1"/>
  <c r="BL72" i="5"/>
  <c r="BH72" i="5"/>
  <c r="BV72" i="5"/>
  <c r="CI72" i="5"/>
  <c r="CF56" i="5"/>
  <c r="BM16" i="5"/>
  <c r="BQ27" i="5"/>
  <c r="BT15" i="5"/>
  <c r="BV27" i="5"/>
  <c r="BM31" i="5"/>
  <c r="CF27" i="5"/>
  <c r="BS108" i="5"/>
  <c r="BX31" i="5"/>
  <c r="AZ72" i="5"/>
  <c r="BQ72" i="5"/>
  <c r="CD72" i="5"/>
  <c r="CH72" i="5"/>
  <c r="CE72" i="5"/>
  <c r="CF15" i="5"/>
  <c r="BI31" i="5"/>
  <c r="CD31" i="5"/>
  <c r="BV109" i="5"/>
  <c r="BV121" i="5" s="1"/>
  <c r="BV122" i="5" s="1"/>
  <c r="BW16" i="5"/>
  <c r="BF108" i="5"/>
  <c r="BF27" i="5"/>
  <c r="BT27" i="5"/>
  <c r="BX27" i="5"/>
  <c r="CC27" i="5"/>
  <c r="BG60" i="5"/>
  <c r="BX60" i="5"/>
  <c r="CG60" i="5"/>
  <c r="CJ60" i="5"/>
  <c r="BG108" i="5"/>
  <c r="BQ108" i="5"/>
  <c r="CH108" i="5"/>
  <c r="AY31" i="5"/>
  <c r="BG27" i="5"/>
  <c r="BD31" i="5"/>
  <c r="BH31" i="5"/>
  <c r="BV31" i="5"/>
  <c r="CC109" i="5"/>
  <c r="CC121" i="5" s="1"/>
  <c r="CC122" i="5" s="1"/>
  <c r="AZ37" i="5"/>
  <c r="AZ108" i="5"/>
  <c r="BL27" i="5"/>
  <c r="CD27" i="5"/>
  <c r="BH27" i="5"/>
  <c r="BK27" i="5"/>
  <c r="CA27" i="5"/>
  <c r="CH27" i="5"/>
  <c r="BA108" i="5"/>
  <c r="BP108" i="5" s="1"/>
  <c r="BD60" i="5"/>
  <c r="BS60" i="5"/>
  <c r="BV60" i="5"/>
  <c r="CI60" i="5"/>
  <c r="BI108" i="5"/>
  <c r="BZ108" i="5"/>
  <c r="CG108" i="5"/>
  <c r="BF31" i="5"/>
  <c r="BS31" i="5"/>
  <c r="CJ31" i="5"/>
  <c r="BY37" i="5"/>
  <c r="BZ27" i="5"/>
  <c r="BE60" i="5"/>
  <c r="BM60" i="5"/>
  <c r="BW60" i="5"/>
  <c r="CF60" i="5"/>
  <c r="BE108" i="5"/>
  <c r="BR108" i="5"/>
  <c r="CD108" i="5"/>
  <c r="AY60" i="5"/>
  <c r="AU60" i="5"/>
  <c r="BB60" i="5" s="1"/>
  <c r="AZ60" i="5"/>
  <c r="BE27" i="5"/>
  <c r="CK27" i="5"/>
  <c r="CG27" i="5"/>
  <c r="CJ27" i="5"/>
  <c r="BI60" i="5"/>
  <c r="BR60" i="5"/>
  <c r="BY60" i="5"/>
  <c r="CH60" i="5"/>
  <c r="BH108" i="5"/>
  <c r="BV108" i="5"/>
  <c r="CJ108" i="5"/>
  <c r="AV31" i="5"/>
  <c r="BC31" i="5" s="1"/>
  <c r="BL31" i="5"/>
  <c r="BQ31" i="5"/>
  <c r="CA31" i="5"/>
  <c r="CC37" i="5"/>
  <c r="BZ31" i="5"/>
  <c r="CI31" i="5"/>
  <c r="BA27" i="5"/>
  <c r="BP27" i="5" s="1"/>
  <c r="BD27" i="5"/>
  <c r="BU27" i="5"/>
  <c r="BW27" i="5"/>
  <c r="BL60" i="5"/>
  <c r="BQ60" i="5"/>
  <c r="CD60" i="5"/>
  <c r="BK108" i="5"/>
  <c r="CA108" i="5"/>
  <c r="CK108" i="5"/>
  <c r="BE31" i="5"/>
  <c r="CH31" i="5"/>
  <c r="CF31" i="5"/>
  <c r="AZ27" i="5"/>
  <c r="BM27" i="5"/>
  <c r="BS27" i="5"/>
  <c r="BY27" i="5"/>
  <c r="CI27" i="5"/>
  <c r="BH60" i="5"/>
  <c r="BT60" i="5"/>
  <c r="BZ60" i="5"/>
  <c r="CK60" i="5"/>
  <c r="BL108" i="5"/>
  <c r="BW108" i="5"/>
  <c r="CI108" i="5"/>
  <c r="BG31" i="5"/>
  <c r="AU108" i="5"/>
  <c r="BB108" i="5" s="1"/>
  <c r="BI27" i="5"/>
  <c r="AY108" i="5"/>
  <c r="BJ27" i="5"/>
  <c r="BR27" i="5"/>
  <c r="BA60" i="5"/>
  <c r="BP60" i="5" s="1"/>
  <c r="BK60" i="5"/>
  <c r="CA60" i="5"/>
  <c r="BT108" i="5"/>
  <c r="BA31" i="5"/>
  <c r="BP31" i="5" s="1"/>
  <c r="BJ15" i="5"/>
  <c r="BJ31" i="5"/>
  <c r="BW31" i="5"/>
  <c r="AU16" i="5"/>
  <c r="BN16" i="5" s="1"/>
  <c r="AY20" i="5"/>
  <c r="BI51" i="5"/>
  <c r="BV51" i="5"/>
  <c r="CE51" i="5"/>
  <c r="BL59" i="5"/>
  <c r="BK59" i="5"/>
  <c r="CA59" i="5"/>
  <c r="CE59" i="5"/>
  <c r="BH20" i="5"/>
  <c r="BT20" i="5"/>
  <c r="CE20" i="5"/>
  <c r="BM39" i="5"/>
  <c r="BA51" i="5"/>
  <c r="BP51" i="5" s="1"/>
  <c r="AV51" i="5"/>
  <c r="BC51" i="5" s="1"/>
  <c r="BE51" i="5"/>
  <c r="BS51" i="5"/>
  <c r="CF51" i="5"/>
  <c r="BE59" i="5"/>
  <c r="BU59" i="5"/>
  <c r="CJ59" i="5"/>
  <c r="BF20" i="5"/>
  <c r="BQ20" i="5"/>
  <c r="CI20" i="5"/>
  <c r="AV61" i="5"/>
  <c r="BC61" i="5" s="1"/>
  <c r="BM61" i="5"/>
  <c r="BY61" i="5"/>
  <c r="CI56" i="5"/>
  <c r="BH51" i="5"/>
  <c r="BR59" i="5"/>
  <c r="BZ59" i="5"/>
  <c r="BT29" i="5"/>
  <c r="BF61" i="5"/>
  <c r="BS61" i="5"/>
  <c r="CC61" i="5"/>
  <c r="AZ85" i="5"/>
  <c r="BA56" i="5"/>
  <c r="BP56" i="5" s="1"/>
  <c r="BT39" i="5"/>
  <c r="AZ20" i="5"/>
  <c r="CA51" i="5"/>
  <c r="CD51" i="5"/>
  <c r="BT28" i="5"/>
  <c r="BM59" i="5"/>
  <c r="CA20" i="5"/>
  <c r="BY39" i="5"/>
  <c r="BM51" i="5"/>
  <c r="CK51" i="5"/>
  <c r="BY28" i="5"/>
  <c r="BI59" i="5"/>
  <c r="BT59" i="5"/>
  <c r="CD59" i="5"/>
  <c r="BK20" i="5"/>
  <c r="BA61" i="5"/>
  <c r="BP61" i="5" s="1"/>
  <c r="BD61" i="5"/>
  <c r="BR61" i="5"/>
  <c r="CE61" i="5"/>
  <c r="BT85" i="5"/>
  <c r="BF56" i="5"/>
  <c r="BA77" i="5"/>
  <c r="BP77" i="5" s="1"/>
  <c r="BQ77" i="5"/>
  <c r="BE88" i="5"/>
  <c r="AZ5" i="5"/>
  <c r="BG5" i="5"/>
  <c r="BS5" i="5"/>
  <c r="BY5" i="5"/>
  <c r="BA80" i="5"/>
  <c r="CJ80" i="5"/>
  <c r="BJ59" i="5"/>
  <c r="BY59" i="5"/>
  <c r="CH59" i="5"/>
  <c r="BE20" i="5"/>
  <c r="BJ20" i="5"/>
  <c r="CD20" i="5"/>
  <c r="AZ61" i="5"/>
  <c r="BW61" i="5"/>
  <c r="BT61" i="5"/>
  <c r="CA61" i="5"/>
  <c r="BS85" i="5"/>
  <c r="BS56" i="5"/>
  <c r="AV20" i="5"/>
  <c r="BC20" i="5" s="1"/>
  <c r="BR51" i="5"/>
  <c r="BB59" i="5"/>
  <c r="BW20" i="5"/>
  <c r="CF39" i="5"/>
  <c r="BG51" i="5"/>
  <c r="AZ51" i="5"/>
  <c r="BJ51" i="5"/>
  <c r="BU51" i="5"/>
  <c r="CC51" i="5"/>
  <c r="CE39" i="5"/>
  <c r="AY51" i="5"/>
  <c r="AZ59" i="5"/>
  <c r="BQ51" i="5"/>
  <c r="BY51" i="5"/>
  <c r="CI51" i="5"/>
  <c r="BH59" i="5"/>
  <c r="BQ59" i="5"/>
  <c r="BV59" i="5"/>
  <c r="CC59" i="5"/>
  <c r="BD20" i="5"/>
  <c r="BS20" i="5"/>
  <c r="CC20" i="5"/>
  <c r="AY61" i="5"/>
  <c r="BH61" i="5"/>
  <c r="BQ61" i="5"/>
  <c r="CI61" i="5"/>
  <c r="BV85" i="5"/>
  <c r="AV56" i="5"/>
  <c r="BC56" i="5" s="1"/>
  <c r="BI56" i="5"/>
  <c r="AY59" i="5"/>
  <c r="BE61" i="5"/>
  <c r="BK61" i="5"/>
  <c r="BU61" i="5"/>
  <c r="CF61" i="5"/>
  <c r="BV56" i="5"/>
  <c r="BR39" i="5"/>
  <c r="AV59" i="5"/>
  <c r="BC59" i="5" s="1"/>
  <c r="BF51" i="5"/>
  <c r="BK51" i="5"/>
  <c r="BW51" i="5"/>
  <c r="BF59" i="5"/>
  <c r="BN59" i="5"/>
  <c r="CF59" i="5"/>
  <c r="CG59" i="5"/>
  <c r="BG20" i="5"/>
  <c r="BR20" i="5"/>
  <c r="CF20" i="5"/>
  <c r="BG61" i="5"/>
  <c r="BJ61" i="5"/>
  <c r="BV61" i="5"/>
  <c r="BW56" i="5"/>
  <c r="BH28" i="5"/>
  <c r="CA28" i="5"/>
  <c r="CK28" i="5"/>
  <c r="AY29" i="5"/>
  <c r="BU29" i="5"/>
  <c r="BY31" i="5"/>
  <c r="BT31" i="5"/>
  <c r="BR31" i="5"/>
  <c r="CG31" i="5"/>
  <c r="CC31" i="5"/>
  <c r="BU31" i="5"/>
  <c r="BK31" i="5"/>
  <c r="CD109" i="5"/>
  <c r="CD121" i="5" s="1"/>
  <c r="CD122" i="5" s="1"/>
  <c r="BS109" i="5"/>
  <c r="BS121" i="5" s="1"/>
  <c r="BS122" i="5" s="1"/>
  <c r="BG109" i="5"/>
  <c r="BG121" i="5" s="1"/>
  <c r="BG122" i="5" s="1"/>
  <c r="BA109" i="5"/>
  <c r="CE109" i="5"/>
  <c r="CE121" i="5" s="1"/>
  <c r="CE122" i="5" s="1"/>
  <c r="BI109" i="5"/>
  <c r="BI121" i="5" s="1"/>
  <c r="BI122" i="5" s="1"/>
  <c r="BD109" i="5"/>
  <c r="BD121" i="5" s="1"/>
  <c r="BD122" i="5" s="1"/>
  <c r="BY109" i="5"/>
  <c r="BY121" i="5" s="1"/>
  <c r="BY122" i="5" s="1"/>
  <c r="BM109" i="5"/>
  <c r="BM121" i="5" s="1"/>
  <c r="BM122" i="5" s="1"/>
  <c r="BF109" i="5"/>
  <c r="BF121" i="5" s="1"/>
  <c r="BF122" i="5" s="1"/>
  <c r="BU109" i="5"/>
  <c r="BU121" i="5" s="1"/>
  <c r="BU122" i="5" s="1"/>
  <c r="BJ109" i="5"/>
  <c r="BJ121" i="5" s="1"/>
  <c r="BJ122" i="5" s="1"/>
  <c r="AU109" i="5"/>
  <c r="CK109" i="5"/>
  <c r="CK121" i="5" s="1"/>
  <c r="CK122" i="5" s="1"/>
  <c r="CA109" i="5"/>
  <c r="CA121" i="5" s="1"/>
  <c r="CA122" i="5" s="1"/>
  <c r="BK109" i="5"/>
  <c r="BK121" i="5" s="1"/>
  <c r="BK122" i="5" s="1"/>
  <c r="BE109" i="5"/>
  <c r="BE121" i="5" s="1"/>
  <c r="BE122" i="5" s="1"/>
  <c r="CF109" i="5"/>
  <c r="CF121" i="5" s="1"/>
  <c r="CF122" i="5" s="1"/>
  <c r="BW109" i="5"/>
  <c r="BW121" i="5" s="1"/>
  <c r="BW122" i="5" s="1"/>
  <c r="BQ109" i="5"/>
  <c r="BQ121" i="5" s="1"/>
  <c r="BQ122" i="5" s="1"/>
  <c r="AV109" i="5"/>
  <c r="BO109" i="5" s="1"/>
  <c r="BO121" i="5" s="1"/>
  <c r="BO122" i="5" s="1"/>
  <c r="AV108" i="5"/>
  <c r="CF108" i="5"/>
  <c r="BX108" i="5"/>
  <c r="BM108" i="5"/>
  <c r="BD108" i="5"/>
  <c r="CC108" i="5"/>
  <c r="BU108" i="5"/>
  <c r="BJ108" i="5"/>
  <c r="AZ28" i="5"/>
  <c r="BM28" i="5"/>
  <c r="CE28" i="5"/>
  <c r="BE52" i="5"/>
  <c r="BT52" i="5"/>
  <c r="BY52" i="5"/>
  <c r="BA52" i="5"/>
  <c r="BP52" i="5" s="1"/>
  <c r="BG29" i="5"/>
  <c r="CA111" i="5"/>
  <c r="BR111" i="5"/>
  <c r="BT111" i="5"/>
  <c r="AV87" i="5"/>
  <c r="BC87" i="5" s="1"/>
  <c r="CD87" i="5"/>
  <c r="BH87" i="5"/>
  <c r="BG87" i="5"/>
  <c r="AV76" i="5"/>
  <c r="BC76" i="5" s="1"/>
  <c r="CC76" i="5"/>
  <c r="BU76" i="5"/>
  <c r="CC29" i="5"/>
  <c r="BQ29" i="5"/>
  <c r="BH29" i="5"/>
  <c r="BA29" i="5"/>
  <c r="BP29" i="5" s="1"/>
  <c r="CD29" i="5"/>
  <c r="BR29" i="5"/>
  <c r="BF29" i="5"/>
  <c r="BE29" i="5"/>
  <c r="BV29" i="5"/>
  <c r="BS29" i="5"/>
  <c r="BD29" i="5"/>
  <c r="BY29" i="5"/>
  <c r="BI29" i="5"/>
  <c r="BW28" i="5"/>
  <c r="BI28" i="5"/>
  <c r="BS28" i="5"/>
  <c r="BD52" i="5"/>
  <c r="BR52" i="5"/>
  <c r="BK29" i="5"/>
  <c r="CI29" i="5"/>
  <c r="AZ109" i="5"/>
  <c r="AZ121" i="5" s="1"/>
  <c r="AZ122" i="5" s="1"/>
  <c r="CF21" i="5"/>
  <c r="CC21" i="5"/>
  <c r="BA21" i="5"/>
  <c r="BP21" i="5" s="1"/>
  <c r="BU21" i="5"/>
  <c r="BE21" i="5"/>
  <c r="BR21" i="5"/>
  <c r="BS21" i="5"/>
  <c r="BJ21" i="5"/>
  <c r="CF28" i="5"/>
  <c r="BJ28" i="5"/>
  <c r="BG28" i="5"/>
  <c r="AY28" i="5"/>
  <c r="BK28" i="5"/>
  <c r="AU29" i="5"/>
  <c r="BN29" i="5" s="1"/>
  <c r="BW29" i="5"/>
  <c r="CK52" i="5"/>
  <c r="CA52" i="5"/>
  <c r="BJ52" i="5"/>
  <c r="AZ52" i="5"/>
  <c r="BE28" i="5"/>
  <c r="BR28" i="5"/>
  <c r="CD28" i="5"/>
  <c r="BH52" i="5"/>
  <c r="BQ52" i="5"/>
  <c r="CC52" i="5"/>
  <c r="AX117" i="5"/>
  <c r="AX118" i="5" s="1"/>
  <c r="BJ29" i="5"/>
  <c r="CF29" i="5"/>
  <c r="AY109" i="5"/>
  <c r="AY121" i="5" s="1"/>
  <c r="AY122" i="5" s="1"/>
  <c r="BH109" i="5"/>
  <c r="BH121" i="5" s="1"/>
  <c r="BH122" i="5" s="1"/>
  <c r="BD28" i="5"/>
  <c r="BQ28" i="5"/>
  <c r="CC28" i="5"/>
  <c r="BN20" i="5"/>
  <c r="BZ20" i="5" s="1"/>
  <c r="BM29" i="5"/>
  <c r="CK29" i="5"/>
  <c r="BF28" i="5"/>
  <c r="BU28" i="5"/>
  <c r="CI28" i="5"/>
  <c r="CE52" i="5"/>
  <c r="AZ29" i="5"/>
  <c r="CE29" i="5"/>
  <c r="BT109" i="5"/>
  <c r="BT121" i="5" s="1"/>
  <c r="BT122" i="5" s="1"/>
  <c r="AY56" i="5"/>
  <c r="BF64" i="5"/>
  <c r="BU64" i="5"/>
  <c r="CC64" i="5"/>
  <c r="BE56" i="5"/>
  <c r="BL56" i="5"/>
  <c r="CC56" i="5"/>
  <c r="CH56" i="5"/>
  <c r="BD88" i="5"/>
  <c r="BG88" i="5"/>
  <c r="CA88" i="5"/>
  <c r="BD112" i="5"/>
  <c r="BG112" i="5"/>
  <c r="CC112" i="5"/>
  <c r="AZ40" i="5"/>
  <c r="CC40" i="5"/>
  <c r="BZ40" i="5"/>
  <c r="BX40" i="5"/>
  <c r="CJ40" i="5"/>
  <c r="AZ53" i="5"/>
  <c r="BK53" i="5"/>
  <c r="BQ53" i="5"/>
  <c r="CI53" i="5"/>
  <c r="BT64" i="5"/>
  <c r="BH64" i="5"/>
  <c r="CD64" i="5"/>
  <c r="AY101" i="5"/>
  <c r="BQ101" i="5"/>
  <c r="BS101" i="5"/>
  <c r="BY101" i="5"/>
  <c r="CJ101" i="5"/>
  <c r="BQ56" i="5"/>
  <c r="BH56" i="5"/>
  <c r="BY56" i="5"/>
  <c r="CK56" i="5"/>
  <c r="AY77" i="5"/>
  <c r="BM77" i="5"/>
  <c r="BV77" i="5"/>
  <c r="CK77" i="5"/>
  <c r="CC88" i="5"/>
  <c r="BS88" i="5"/>
  <c r="CE88" i="5"/>
  <c r="AV112" i="5"/>
  <c r="AV40" i="5"/>
  <c r="BO40" i="5" s="1"/>
  <c r="AU40" i="5"/>
  <c r="BN40" i="5" s="1"/>
  <c r="BJ40" i="5"/>
  <c r="BT40" i="5"/>
  <c r="CA40" i="5"/>
  <c r="AV64" i="5"/>
  <c r="BO64" i="5" s="1"/>
  <c r="BE64" i="5"/>
  <c r="BQ64" i="5"/>
  <c r="CA64" i="5"/>
  <c r="BD56" i="5"/>
  <c r="BG56" i="5"/>
  <c r="CD56" i="5"/>
  <c r="CE56" i="5"/>
  <c r="AV77" i="5"/>
  <c r="BO77" i="5" s="1"/>
  <c r="BI77" i="5"/>
  <c r="BY77" i="5"/>
  <c r="AZ88" i="5"/>
  <c r="BK88" i="5"/>
  <c r="BU88" i="5"/>
  <c r="CI88" i="5"/>
  <c r="BE69" i="5"/>
  <c r="BK69" i="5"/>
  <c r="BU69" i="5"/>
  <c r="AY100" i="5"/>
  <c r="BH100" i="5"/>
  <c r="BR100" i="5"/>
  <c r="CA100" i="5"/>
  <c r="BA20" i="5"/>
  <c r="BP20" i="5" s="1"/>
  <c r="BI43" i="5"/>
  <c r="CH43" i="5"/>
  <c r="BV43" i="5"/>
  <c r="BD59" i="5"/>
  <c r="BS59" i="5"/>
  <c r="BW59" i="5"/>
  <c r="CI59" i="5"/>
  <c r="BI20" i="5"/>
  <c r="BM20" i="5"/>
  <c r="BV20" i="5"/>
  <c r="AZ112" i="5"/>
  <c r="BK112" i="5"/>
  <c r="BQ112" i="5"/>
  <c r="CA112" i="5"/>
  <c r="BA40" i="5"/>
  <c r="BP40" i="5" s="1"/>
  <c r="BM40" i="5"/>
  <c r="BY40" i="5"/>
  <c r="CG40" i="5"/>
  <c r="BE53" i="5"/>
  <c r="BM53" i="5"/>
  <c r="CE53" i="5"/>
  <c r="CK53" i="5"/>
  <c r="BD64" i="5"/>
  <c r="BG64" i="5"/>
  <c r="CI64" i="5"/>
  <c r="AU101" i="5"/>
  <c r="BB101" i="5" s="1"/>
  <c r="BK101" i="5"/>
  <c r="CG101" i="5"/>
  <c r="BZ101" i="5"/>
  <c r="BK56" i="5"/>
  <c r="BR56" i="5"/>
  <c r="BX56" i="5"/>
  <c r="CJ56" i="5"/>
  <c r="BF77" i="5"/>
  <c r="BW77" i="5"/>
  <c r="CD77" i="5"/>
  <c r="AU88" i="5"/>
  <c r="BN88" i="5" s="1"/>
  <c r="BQ88" i="5"/>
  <c r="BR88" i="5"/>
  <c r="CF88" i="5"/>
  <c r="AU44" i="5"/>
  <c r="BP66" i="5"/>
  <c r="CB66" i="5" s="1"/>
  <c r="BF40" i="5"/>
  <c r="BI40" i="5"/>
  <c r="BR40" i="5"/>
  <c r="AV53" i="5"/>
  <c r="BC53" i="5" s="1"/>
  <c r="BI53" i="5"/>
  <c r="AZ64" i="5"/>
  <c r="BK64" i="5"/>
  <c r="BR64" i="5"/>
  <c r="CF64" i="5"/>
  <c r="BE101" i="5"/>
  <c r="BJ101" i="5"/>
  <c r="CA101" i="5"/>
  <c r="AZ56" i="5"/>
  <c r="BJ56" i="5"/>
  <c r="BT56" i="5"/>
  <c r="BZ56" i="5"/>
  <c r="CG56" i="5"/>
  <c r="BD77" i="5"/>
  <c r="BS77" i="5"/>
  <c r="BA88" i="5"/>
  <c r="BP88" i="5" s="1"/>
  <c r="BJ88" i="5"/>
  <c r="BY88" i="5"/>
  <c r="CK88" i="5"/>
  <c r="BY64" i="5"/>
  <c r="AU56" i="5"/>
  <c r="BN56" i="5" s="1"/>
  <c r="BM56" i="5"/>
  <c r="BU56" i="5"/>
  <c r="BV88" i="5"/>
  <c r="BM88" i="5"/>
  <c r="BT88" i="5"/>
  <c r="AV44" i="5"/>
  <c r="BC44" i="5" s="1"/>
  <c r="BC39" i="5"/>
  <c r="BO39" i="5"/>
  <c r="BH84" i="5"/>
  <c r="CH84" i="5"/>
  <c r="CG84" i="5"/>
  <c r="BU75" i="5"/>
  <c r="BS75" i="5"/>
  <c r="BE39" i="5"/>
  <c r="BL39" i="5"/>
  <c r="BV39" i="5"/>
  <c r="CK39" i="5"/>
  <c r="AY84" i="5"/>
  <c r="AZ84" i="5"/>
  <c r="BL84" i="5"/>
  <c r="BS84" i="5"/>
  <c r="BW84" i="5"/>
  <c r="CI84" i="5"/>
  <c r="BB75" i="5"/>
  <c r="BF75" i="5"/>
  <c r="BV75" i="5"/>
  <c r="BR75" i="5"/>
  <c r="AY63" i="5"/>
  <c r="BK15" i="5"/>
  <c r="BU15" i="5"/>
  <c r="CI15" i="5"/>
  <c r="BF63" i="5"/>
  <c r="BH63" i="5"/>
  <c r="BY63" i="5"/>
  <c r="BG111" i="5"/>
  <c r="BM111" i="5"/>
  <c r="CI111" i="5"/>
  <c r="BB18" i="5"/>
  <c r="BZ18" i="5" s="1"/>
  <c r="BN82" i="5"/>
  <c r="BD8" i="5"/>
  <c r="BW8" i="5"/>
  <c r="BD96" i="5"/>
  <c r="BQ96" i="5"/>
  <c r="BY96" i="5"/>
  <c r="CJ96" i="5"/>
  <c r="AZ16" i="5"/>
  <c r="BJ16" i="5"/>
  <c r="BU16" i="5"/>
  <c r="AU37" i="5"/>
  <c r="BN37" i="5" s="1"/>
  <c r="CI37" i="5"/>
  <c r="BF84" i="5"/>
  <c r="BU39" i="5"/>
  <c r="BH39" i="5"/>
  <c r="BZ39" i="5"/>
  <c r="CJ39" i="5"/>
  <c r="BP84" i="5"/>
  <c r="BR84" i="5"/>
  <c r="BZ84" i="5"/>
  <c r="BD75" i="5"/>
  <c r="BT75" i="5"/>
  <c r="BW75" i="5"/>
  <c r="AV15" i="5"/>
  <c r="BC15" i="5" s="1"/>
  <c r="BM15" i="5"/>
  <c r="CD15" i="5"/>
  <c r="CK15" i="5"/>
  <c r="BG63" i="5"/>
  <c r="BS63" i="5"/>
  <c r="CA63" i="5"/>
  <c r="BE111" i="5"/>
  <c r="BH111" i="5"/>
  <c r="CK111" i="5"/>
  <c r="BP82" i="5"/>
  <c r="CB82" i="5" s="1"/>
  <c r="BU8" i="5"/>
  <c r="CC8" i="5"/>
  <c r="AZ96" i="5"/>
  <c r="BJ96" i="5"/>
  <c r="BR96" i="5"/>
  <c r="CA96" i="5"/>
  <c r="CG96" i="5"/>
  <c r="BB99" i="5"/>
  <c r="BA16" i="5"/>
  <c r="BP16" i="5" s="1"/>
  <c r="BI16" i="5"/>
  <c r="BY16" i="5"/>
  <c r="BE37" i="5"/>
  <c r="BR80" i="5"/>
  <c r="AV84" i="5"/>
  <c r="BC84" i="5" s="1"/>
  <c r="BT8" i="5"/>
  <c r="CD84" i="5"/>
  <c r="CD75" i="5"/>
  <c r="BI15" i="5"/>
  <c r="BW15" i="5"/>
  <c r="CE15" i="5"/>
  <c r="BK63" i="5"/>
  <c r="BQ63" i="5"/>
  <c r="CI63" i="5"/>
  <c r="BU111" i="5"/>
  <c r="BS111" i="5"/>
  <c r="BJ8" i="5"/>
  <c r="BV8" i="5"/>
  <c r="AU96" i="5"/>
  <c r="BN96" i="5" s="1"/>
  <c r="BL96" i="5"/>
  <c r="BU96" i="5"/>
  <c r="BZ96" i="5"/>
  <c r="BE16" i="5"/>
  <c r="BH16" i="5"/>
  <c r="CA16" i="5"/>
  <c r="BM37" i="5"/>
  <c r="BQ8" i="5"/>
  <c r="BK39" i="5"/>
  <c r="BS39" i="5"/>
  <c r="CA39" i="5"/>
  <c r="BG84" i="5"/>
  <c r="BQ84" i="5"/>
  <c r="BQ75" i="5"/>
  <c r="BK75" i="5"/>
  <c r="AY15" i="5"/>
  <c r="BA15" i="5"/>
  <c r="BP15" i="5" s="1"/>
  <c r="BD39" i="5"/>
  <c r="CC39" i="5"/>
  <c r="BQ39" i="5"/>
  <c r="CG39" i="5"/>
  <c r="BE84" i="5"/>
  <c r="BK84" i="5"/>
  <c r="BX84" i="5"/>
  <c r="CJ84" i="5"/>
  <c r="BG75" i="5"/>
  <c r="BN75" i="5"/>
  <c r="CC75" i="5"/>
  <c r="BD15" i="5"/>
  <c r="BH15" i="5"/>
  <c r="BV15" i="5"/>
  <c r="BJ63" i="5"/>
  <c r="BW63" i="5"/>
  <c r="CF63" i="5"/>
  <c r="BK111" i="5"/>
  <c r="CD111" i="5"/>
  <c r="AZ8" i="5"/>
  <c r="BM8" i="5"/>
  <c r="CD8" i="5"/>
  <c r="BA96" i="5"/>
  <c r="BP96" i="5" s="1"/>
  <c r="BM96" i="5"/>
  <c r="BT96" i="5"/>
  <c r="CE96" i="5"/>
  <c r="BD16" i="5"/>
  <c r="BG16" i="5"/>
  <c r="CI16" i="5"/>
  <c r="BI37" i="5"/>
  <c r="BG39" i="5"/>
  <c r="BJ39" i="5"/>
  <c r="BW39" i="5"/>
  <c r="CI39" i="5"/>
  <c r="BI84" i="5"/>
  <c r="BJ84" i="5"/>
  <c r="BV84" i="5"/>
  <c r="CC84" i="5"/>
  <c r="BI75" i="5"/>
  <c r="CA75" i="5"/>
  <c r="CK75" i="5"/>
  <c r="AY111" i="5"/>
  <c r="AV63" i="5"/>
  <c r="BO63" i="5" s="1"/>
  <c r="BF15" i="5"/>
  <c r="BG15" i="5"/>
  <c r="CC15" i="5"/>
  <c r="BM63" i="5"/>
  <c r="BT63" i="5"/>
  <c r="CK63" i="5"/>
  <c r="BV111" i="5"/>
  <c r="BY111" i="5"/>
  <c r="AU8" i="5"/>
  <c r="BN8" i="5" s="1"/>
  <c r="BI8" i="5"/>
  <c r="CI8" i="5"/>
  <c r="CC96" i="5"/>
  <c r="BI96" i="5"/>
  <c r="BV96" i="5"/>
  <c r="CH96" i="5"/>
  <c r="BV16" i="5"/>
  <c r="BT16" i="5"/>
  <c r="CF16" i="5"/>
  <c r="BR37" i="5"/>
  <c r="BW80" i="5"/>
  <c r="BA39" i="5"/>
  <c r="BP39" i="5" s="1"/>
  <c r="BA111" i="5"/>
  <c r="BP111" i="5" s="1"/>
  <c r="BE15" i="5"/>
  <c r="BS15" i="5"/>
  <c r="BY15" i="5"/>
  <c r="BI63" i="5"/>
  <c r="CD63" i="5"/>
  <c r="CE63" i="5"/>
  <c r="BD111" i="5"/>
  <c r="BW111" i="5"/>
  <c r="CE111" i="5"/>
  <c r="BF8" i="5"/>
  <c r="BH8" i="5"/>
  <c r="CF8" i="5"/>
  <c r="BF96" i="5"/>
  <c r="BS96" i="5"/>
  <c r="BW96" i="5"/>
  <c r="CI96" i="5"/>
  <c r="BK16" i="5"/>
  <c r="BQ16" i="5"/>
  <c r="CK16" i="5"/>
  <c r="BM75" i="5"/>
  <c r="CF75" i="5"/>
  <c r="CI75" i="5"/>
  <c r="BF39" i="5"/>
  <c r="BI39" i="5"/>
  <c r="CD39" i="5"/>
  <c r="CH39" i="5"/>
  <c r="AY75" i="5"/>
  <c r="AU84" i="5"/>
  <c r="BN84" i="5" s="1"/>
  <c r="AV75" i="5"/>
  <c r="BO75" i="5" s="1"/>
  <c r="CA84" i="5"/>
  <c r="BH75" i="5"/>
  <c r="AV111" i="5"/>
  <c r="BC111" i="5" s="1"/>
  <c r="BR15" i="5"/>
  <c r="BQ15" i="5"/>
  <c r="BD63" i="5"/>
  <c r="BU63" i="5"/>
  <c r="BQ111" i="5"/>
  <c r="BJ111" i="5"/>
  <c r="CC111" i="5"/>
  <c r="BE8" i="5"/>
  <c r="BG8" i="5"/>
  <c r="CE8" i="5"/>
  <c r="AV96" i="5"/>
  <c r="BC96" i="5" s="1"/>
  <c r="BE96" i="5"/>
  <c r="BH96" i="5"/>
  <c r="BX96" i="5"/>
  <c r="CF96" i="5"/>
  <c r="AY16" i="5"/>
  <c r="BS16" i="5"/>
  <c r="BR16" i="5"/>
  <c r="CE16" i="5"/>
  <c r="AV48" i="5"/>
  <c r="BO48" i="5" s="1"/>
  <c r="AT117" i="5"/>
  <c r="AT118" i="5" s="1"/>
  <c r="AS117" i="5"/>
  <c r="AS118" i="5" s="1"/>
  <c r="BF24" i="5"/>
  <c r="BC16" i="5"/>
  <c r="BK37" i="5"/>
  <c r="BV37" i="5"/>
  <c r="CC48" i="5"/>
  <c r="BQ80" i="5"/>
  <c r="CI80" i="5"/>
  <c r="BL34" i="5"/>
  <c r="BC10" i="5"/>
  <c r="BP106" i="5"/>
  <c r="CB106" i="5" s="1"/>
  <c r="AV37" i="5"/>
  <c r="BC37" i="5" s="1"/>
  <c r="BS37" i="5"/>
  <c r="CE37" i="5"/>
  <c r="BP58" i="5"/>
  <c r="BC26" i="5"/>
  <c r="BL26" i="5"/>
  <c r="CK85" i="5"/>
  <c r="BF37" i="5"/>
  <c r="BQ37" i="5"/>
  <c r="CK37" i="5"/>
  <c r="BJ80" i="5"/>
  <c r="BZ80" i="5"/>
  <c r="BD37" i="5"/>
  <c r="BU37" i="5"/>
  <c r="BD48" i="5"/>
  <c r="AZ80" i="5"/>
  <c r="BI80" i="5"/>
  <c r="CC80" i="5"/>
  <c r="BG37" i="5"/>
  <c r="CD37" i="5"/>
  <c r="BT48" i="5"/>
  <c r="AU80" i="5"/>
  <c r="BG80" i="5"/>
  <c r="CD80" i="5"/>
  <c r="BB4" i="5"/>
  <c r="BN4" i="5"/>
  <c r="BB51" i="5"/>
  <c r="BN51" i="5"/>
  <c r="BN34" i="5"/>
  <c r="BZ34" i="5" s="1"/>
  <c r="BP50" i="5"/>
  <c r="AV4" i="5"/>
  <c r="BF111" i="5"/>
  <c r="BI111" i="5"/>
  <c r="BB66" i="5"/>
  <c r="AV8" i="5"/>
  <c r="BC8" i="5" s="1"/>
  <c r="BK8" i="5"/>
  <c r="BS8" i="5"/>
  <c r="CA8" i="5"/>
  <c r="BF16" i="5"/>
  <c r="CC16" i="5"/>
  <c r="CD16" i="5"/>
  <c r="BA37" i="5"/>
  <c r="BP37" i="5" s="1"/>
  <c r="BH37" i="5"/>
  <c r="BW37" i="5"/>
  <c r="CA37" i="5"/>
  <c r="BF80" i="5"/>
  <c r="BM80" i="5"/>
  <c r="BU80" i="5"/>
  <c r="CA80" i="5"/>
  <c r="BL18" i="5"/>
  <c r="BO34" i="5"/>
  <c r="BB98" i="5"/>
  <c r="AY37" i="5"/>
  <c r="BJ37" i="5"/>
  <c r="BT37" i="5"/>
  <c r="BD80" i="5"/>
  <c r="BH80" i="5"/>
  <c r="BY80" i="5"/>
  <c r="CF80" i="5"/>
  <c r="BL10" i="5"/>
  <c r="BB50" i="5"/>
  <c r="BP90" i="5"/>
  <c r="BX90" i="5" s="1"/>
  <c r="BP98" i="5"/>
  <c r="CB98" i="5" s="1"/>
  <c r="BA8" i="5"/>
  <c r="BP8" i="5" s="1"/>
  <c r="BY8" i="5"/>
  <c r="BR8" i="5"/>
  <c r="CK8" i="5"/>
  <c r="BL80" i="5"/>
  <c r="BX80" i="5"/>
  <c r="CK80" i="5"/>
  <c r="AU55" i="5"/>
  <c r="AZ55" i="5"/>
  <c r="AU95" i="5"/>
  <c r="AZ95" i="5"/>
  <c r="BF55" i="5"/>
  <c r="BI55" i="5"/>
  <c r="BX55" i="5"/>
  <c r="CF55" i="5"/>
  <c r="AY67" i="5"/>
  <c r="AV91" i="5"/>
  <c r="BO91" i="5" s="1"/>
  <c r="BI67" i="5"/>
  <c r="BZ67" i="5"/>
  <c r="BR67" i="5"/>
  <c r="CC67" i="5"/>
  <c r="BO11" i="5"/>
  <c r="BF91" i="5"/>
  <c r="BL91" i="5"/>
  <c r="BR91" i="5"/>
  <c r="CF91" i="5"/>
  <c r="AY95" i="5"/>
  <c r="AV55" i="5"/>
  <c r="BR95" i="5"/>
  <c r="BU95" i="5"/>
  <c r="CI95" i="5"/>
  <c r="BD50" i="5"/>
  <c r="AV104" i="5"/>
  <c r="BC104" i="5" s="1"/>
  <c r="AY93" i="5"/>
  <c r="BK93" i="5"/>
  <c r="BQ93" i="5"/>
  <c r="CC93" i="5"/>
  <c r="AZ104" i="5"/>
  <c r="BS104" i="5"/>
  <c r="BV104" i="5"/>
  <c r="CD104" i="5"/>
  <c r="CK104" i="5"/>
  <c r="AV32" i="5"/>
  <c r="BC32" i="5" s="1"/>
  <c r="BY21" i="5"/>
  <c r="BM21" i="5"/>
  <c r="BT21" i="5"/>
  <c r="AZ32" i="5"/>
  <c r="BH32" i="5"/>
  <c r="BV32" i="5"/>
  <c r="AY85" i="5"/>
  <c r="BG85" i="5"/>
  <c r="CE85" i="5"/>
  <c r="BY85" i="5"/>
  <c r="CH85" i="5"/>
  <c r="AS115" i="5"/>
  <c r="AS116" i="5" s="1"/>
  <c r="D4" i="10" s="1"/>
  <c r="BA24" i="5"/>
  <c r="BP24" i="5" s="1"/>
  <c r="BL24" i="5"/>
  <c r="BT24" i="5"/>
  <c r="CA24" i="5"/>
  <c r="BG48" i="5"/>
  <c r="CD48" i="5"/>
  <c r="BR103" i="5"/>
  <c r="AZ103" i="5"/>
  <c r="AU103" i="5"/>
  <c r="BG103" i="5"/>
  <c r="AZ79" i="5"/>
  <c r="AU79" i="5"/>
  <c r="BI68" i="5"/>
  <c r="BF68" i="5"/>
  <c r="AV68" i="5"/>
  <c r="AZ7" i="5"/>
  <c r="AU7" i="5"/>
  <c r="BD95" i="5"/>
  <c r="BJ95" i="5"/>
  <c r="BT95" i="5"/>
  <c r="CF95" i="5"/>
  <c r="AV93" i="5"/>
  <c r="BL93" i="5"/>
  <c r="BV93" i="5"/>
  <c r="CA93" i="5"/>
  <c r="AU104" i="5"/>
  <c r="BK104" i="5"/>
  <c r="BG104" i="5"/>
  <c r="BX104" i="5"/>
  <c r="CJ104" i="5"/>
  <c r="AU21" i="5"/>
  <c r="BN21" i="5" s="1"/>
  <c r="BD21" i="5"/>
  <c r="BI21" i="5"/>
  <c r="BV21" i="5"/>
  <c r="AU32" i="5"/>
  <c r="BQ32" i="5"/>
  <c r="BG32" i="5"/>
  <c r="CD32" i="5"/>
  <c r="AV85" i="5"/>
  <c r="BC85" i="5" s="1"/>
  <c r="BR85" i="5"/>
  <c r="BZ85" i="5"/>
  <c r="BE24" i="5"/>
  <c r="BQ24" i="5"/>
  <c r="CD24" i="5"/>
  <c r="CI24" i="5"/>
  <c r="AZ48" i="5"/>
  <c r="BK48" i="5"/>
  <c r="BS48" i="5"/>
  <c r="CA48" i="5"/>
  <c r="AU111" i="5"/>
  <c r="AZ111" i="5"/>
  <c r="AU85" i="5"/>
  <c r="BN85" i="5" s="1"/>
  <c r="BK85" i="5"/>
  <c r="BQ85" i="5"/>
  <c r="CC85" i="5"/>
  <c r="BL90" i="5"/>
  <c r="AV24" i="5"/>
  <c r="BC24" i="5" s="1"/>
  <c r="BD24" i="5"/>
  <c r="BH24" i="5"/>
  <c r="BY24" i="5"/>
  <c r="CF24" i="5"/>
  <c r="BJ48" i="5"/>
  <c r="BR48" i="5"/>
  <c r="CI48" i="5"/>
  <c r="AU87" i="5"/>
  <c r="AZ87" i="5"/>
  <c r="AZ63" i="5"/>
  <c r="AU63" i="5"/>
  <c r="AU27" i="5"/>
  <c r="BN27" i="5" s="1"/>
  <c r="BB42" i="5"/>
  <c r="BC90" i="5"/>
  <c r="BF85" i="5"/>
  <c r="BJ85" i="5"/>
  <c r="BX85" i="5"/>
  <c r="CG85" i="5"/>
  <c r="BW24" i="5"/>
  <c r="BV24" i="5"/>
  <c r="CH24" i="5"/>
  <c r="AU48" i="5"/>
  <c r="BN48" i="5" s="1"/>
  <c r="BM48" i="5"/>
  <c r="BU48" i="5"/>
  <c r="CF48" i="5"/>
  <c r="BM35" i="5"/>
  <c r="AU35" i="5"/>
  <c r="BA100" i="5"/>
  <c r="BP100" i="5" s="1"/>
  <c r="AV100" i="5"/>
  <c r="AY39" i="5"/>
  <c r="AZ39" i="5"/>
  <c r="AU39" i="5"/>
  <c r="AZ15" i="5"/>
  <c r="AU15" i="5"/>
  <c r="BH67" i="5"/>
  <c r="BV67" i="5"/>
  <c r="BW67" i="5"/>
  <c r="CI67" i="5"/>
  <c r="BD91" i="5"/>
  <c r="BT91" i="5"/>
  <c r="BZ91" i="5"/>
  <c r="CJ91" i="5"/>
  <c r="BM67" i="5"/>
  <c r="BG95" i="5"/>
  <c r="BH95" i="5"/>
  <c r="BY95" i="5"/>
  <c r="BP26" i="5"/>
  <c r="BX26" i="5" s="1"/>
  <c r="BE93" i="5"/>
  <c r="BD93" i="5"/>
  <c r="BT93" i="5"/>
  <c r="BX93" i="5"/>
  <c r="CJ93" i="5"/>
  <c r="BF104" i="5"/>
  <c r="BM104" i="5"/>
  <c r="BU104" i="5"/>
  <c r="CE104" i="5"/>
  <c r="BF21" i="5"/>
  <c r="BW21" i="5"/>
  <c r="CA21" i="5"/>
  <c r="BA32" i="5"/>
  <c r="BP32" i="5" s="1"/>
  <c r="BJ32" i="5"/>
  <c r="BT32" i="5"/>
  <c r="CF32" i="5"/>
  <c r="BD85" i="5"/>
  <c r="BM85" i="5"/>
  <c r="BU85" i="5"/>
  <c r="CA85" i="5"/>
  <c r="BB3" i="5"/>
  <c r="AZ24" i="5"/>
  <c r="BK24" i="5"/>
  <c r="BG24" i="5"/>
  <c r="BZ24" i="5"/>
  <c r="CK24" i="5"/>
  <c r="BA48" i="5"/>
  <c r="BQ48" i="5"/>
  <c r="BW48" i="5"/>
  <c r="CK48" i="5"/>
  <c r="AU47" i="5"/>
  <c r="AZ47" i="5"/>
  <c r="AU11" i="5"/>
  <c r="BJ11" i="5"/>
  <c r="BG11" i="5"/>
  <c r="BF52" i="5"/>
  <c r="AV52" i="5"/>
  <c r="BA28" i="5"/>
  <c r="BP28" i="5" s="1"/>
  <c r="AV28" i="5"/>
  <c r="AU28" i="5"/>
  <c r="BO103" i="5"/>
  <c r="BV95" i="5"/>
  <c r="CE95" i="5"/>
  <c r="BA93" i="5"/>
  <c r="BP93" i="5" s="1"/>
  <c r="BH93" i="5"/>
  <c r="BI93" i="5"/>
  <c r="BY93" i="5"/>
  <c r="CF93" i="5"/>
  <c r="BE104" i="5"/>
  <c r="BI104" i="5"/>
  <c r="BY104" i="5"/>
  <c r="CI104" i="5"/>
  <c r="BP42" i="5"/>
  <c r="CB42" i="5" s="1"/>
  <c r="BP34" i="5"/>
  <c r="CB34" i="5" s="1"/>
  <c r="AZ21" i="5"/>
  <c r="BK21" i="5"/>
  <c r="BQ21" i="5"/>
  <c r="CI21" i="5"/>
  <c r="BF32" i="5"/>
  <c r="BM32" i="5"/>
  <c r="BW32" i="5"/>
  <c r="CK32" i="5"/>
  <c r="BE85" i="5"/>
  <c r="BH85" i="5"/>
  <c r="BW85" i="5"/>
  <c r="CD85" i="5"/>
  <c r="CI85" i="5"/>
  <c r="BJ24" i="5"/>
  <c r="BU24" i="5"/>
  <c r="CC24" i="5"/>
  <c r="CE24" i="5"/>
  <c r="BF48" i="5"/>
  <c r="BI48" i="5"/>
  <c r="BY48" i="5"/>
  <c r="CE48" i="5"/>
  <c r="BF60" i="5"/>
  <c r="AV60" i="5"/>
  <c r="AZ23" i="5"/>
  <c r="AU23" i="5"/>
  <c r="AU31" i="5"/>
  <c r="AZ31" i="5"/>
  <c r="BC79" i="5"/>
  <c r="BI91" i="5"/>
  <c r="BS91" i="5"/>
  <c r="BW91" i="5"/>
  <c r="BA95" i="5"/>
  <c r="BP95" i="5" s="1"/>
  <c r="BK95" i="5"/>
  <c r="BS95" i="5"/>
  <c r="CC95" i="5"/>
  <c r="BP18" i="5"/>
  <c r="BX18" i="5" s="1"/>
  <c r="BC106" i="5"/>
  <c r="AY48" i="5"/>
  <c r="BG93" i="5"/>
  <c r="BZ93" i="5"/>
  <c r="BS93" i="5"/>
  <c r="CE93" i="5"/>
  <c r="BL104" i="5"/>
  <c r="CC104" i="5"/>
  <c r="AY21" i="5"/>
  <c r="CD21" i="5"/>
  <c r="BE32" i="5"/>
  <c r="BI32" i="5"/>
  <c r="CC32" i="5"/>
  <c r="CE32" i="5"/>
  <c r="BA85" i="5"/>
  <c r="BP85" i="5" s="1"/>
  <c r="BL85" i="5"/>
  <c r="BI85" i="5"/>
  <c r="CJ85" i="5"/>
  <c r="AU24" i="5"/>
  <c r="BB24" i="5" s="1"/>
  <c r="BM24" i="5"/>
  <c r="BS24" i="5"/>
  <c r="CG24" i="5"/>
  <c r="CJ24" i="5"/>
  <c r="BB67" i="5"/>
  <c r="BE48" i="5"/>
  <c r="BH48" i="5"/>
  <c r="BV48" i="5"/>
  <c r="AU36" i="5"/>
  <c r="AV36" i="5"/>
  <c r="BO36" i="5" s="1"/>
  <c r="AV12" i="5"/>
  <c r="AU12" i="5"/>
  <c r="BJ43" i="5"/>
  <c r="AU43" i="5"/>
  <c r="BB26" i="5"/>
  <c r="BZ26" i="5" s="1"/>
  <c r="BC42" i="5"/>
  <c r="BC50" i="5"/>
  <c r="BD58" i="5"/>
  <c r="BO82" i="5"/>
  <c r="BB106" i="5"/>
  <c r="CE73" i="5"/>
  <c r="CK73" i="5"/>
  <c r="CF73" i="5"/>
  <c r="CD73" i="5"/>
  <c r="CI73" i="5"/>
  <c r="CC73" i="5"/>
  <c r="BV73" i="5"/>
  <c r="BY73" i="5"/>
  <c r="CA73" i="5"/>
  <c r="BW73" i="5"/>
  <c r="BU73" i="5"/>
  <c r="BQ73" i="5"/>
  <c r="BT73" i="5"/>
  <c r="BG73" i="5"/>
  <c r="BS73" i="5"/>
  <c r="BH73" i="5"/>
  <c r="BR73" i="5"/>
  <c r="BM73" i="5"/>
  <c r="BJ73" i="5"/>
  <c r="BK73" i="5"/>
  <c r="BD73" i="5"/>
  <c r="BE73" i="5"/>
  <c r="BF73" i="5"/>
  <c r="BI73" i="5"/>
  <c r="AZ73" i="5"/>
  <c r="BA73" i="5"/>
  <c r="BP73" i="5" s="1"/>
  <c r="AU73" i="5"/>
  <c r="BN73" i="5" s="1"/>
  <c r="AV73" i="5"/>
  <c r="BC73" i="5" s="1"/>
  <c r="AY73" i="5"/>
  <c r="CG33" i="5"/>
  <c r="CE33" i="5"/>
  <c r="CK33" i="5"/>
  <c r="CF33" i="5"/>
  <c r="CD33" i="5"/>
  <c r="CA33" i="5"/>
  <c r="CI33" i="5"/>
  <c r="CC33" i="5"/>
  <c r="BV33" i="5"/>
  <c r="BY33" i="5"/>
  <c r="BT33" i="5"/>
  <c r="BQ33" i="5"/>
  <c r="BF33" i="5"/>
  <c r="BG33" i="5"/>
  <c r="BW33" i="5"/>
  <c r="BU33" i="5"/>
  <c r="BH33" i="5"/>
  <c r="BS33" i="5"/>
  <c r="BR33" i="5"/>
  <c r="BM33" i="5"/>
  <c r="BJ33" i="5"/>
  <c r="BI33" i="5"/>
  <c r="BD33" i="5"/>
  <c r="BE33" i="5"/>
  <c r="BK33" i="5"/>
  <c r="AZ33" i="5"/>
  <c r="BA33" i="5"/>
  <c r="BP33" i="5" s="1"/>
  <c r="AU33" i="5"/>
  <c r="BN33" i="5" s="1"/>
  <c r="AV33" i="5"/>
  <c r="BO33" i="5" s="1"/>
  <c r="AY33" i="5"/>
  <c r="BC18" i="5"/>
  <c r="BC58" i="5"/>
  <c r="BO66" i="5"/>
  <c r="BO98" i="5"/>
  <c r="CG105" i="5"/>
  <c r="CJ105" i="5"/>
  <c r="CK105" i="5"/>
  <c r="CH105" i="5"/>
  <c r="CF105" i="5"/>
  <c r="CD105" i="5"/>
  <c r="CI105" i="5"/>
  <c r="CE105" i="5"/>
  <c r="BZ105" i="5"/>
  <c r="CA105" i="5"/>
  <c r="BW105" i="5"/>
  <c r="CC105" i="5"/>
  <c r="BT105" i="5"/>
  <c r="BY105" i="5"/>
  <c r="BU105" i="5"/>
  <c r="BV105" i="5"/>
  <c r="BR105" i="5"/>
  <c r="BQ105" i="5"/>
  <c r="BG105" i="5"/>
  <c r="BH105" i="5"/>
  <c r="BL105" i="5"/>
  <c r="BM105" i="5"/>
  <c r="BJ105" i="5"/>
  <c r="BX105" i="5"/>
  <c r="BS105" i="5"/>
  <c r="BK105" i="5"/>
  <c r="BD105" i="5"/>
  <c r="BE105" i="5"/>
  <c r="BF105" i="5"/>
  <c r="AZ105" i="5"/>
  <c r="BA105" i="5"/>
  <c r="BP105" i="5" s="1"/>
  <c r="AU105" i="5"/>
  <c r="BB105" i="5" s="1"/>
  <c r="AV105" i="5"/>
  <c r="BO105" i="5" s="1"/>
  <c r="BI105" i="5"/>
  <c r="AY105" i="5"/>
  <c r="CE14" i="5"/>
  <c r="CK14" i="5"/>
  <c r="CF14" i="5"/>
  <c r="CI14" i="5"/>
  <c r="CA14" i="5"/>
  <c r="BY14" i="5"/>
  <c r="CC14" i="5"/>
  <c r="CD14" i="5"/>
  <c r="BW14" i="5"/>
  <c r="BT14" i="5"/>
  <c r="BU14" i="5"/>
  <c r="BQ14" i="5"/>
  <c r="BV14" i="5"/>
  <c r="BR14" i="5"/>
  <c r="BH14" i="5"/>
  <c r="BI14" i="5"/>
  <c r="BM14" i="5"/>
  <c r="BJ14" i="5"/>
  <c r="BK14" i="5"/>
  <c r="BS14" i="5"/>
  <c r="BG14" i="5"/>
  <c r="BE14" i="5"/>
  <c r="BF14" i="5"/>
  <c r="BD14" i="5"/>
  <c r="AY14" i="5"/>
  <c r="BA14" i="5"/>
  <c r="BP14" i="5" s="1"/>
  <c r="AZ14" i="5"/>
  <c r="AU14" i="5"/>
  <c r="BB14" i="5" s="1"/>
  <c r="AV14" i="5"/>
  <c r="BC14" i="5" s="1"/>
  <c r="CE46" i="5"/>
  <c r="CK46" i="5"/>
  <c r="CF46" i="5"/>
  <c r="CI46" i="5"/>
  <c r="CA46" i="5"/>
  <c r="CC46" i="5"/>
  <c r="CD46" i="5"/>
  <c r="BW46" i="5"/>
  <c r="BV46" i="5"/>
  <c r="BY46" i="5"/>
  <c r="BU46" i="5"/>
  <c r="BQ46" i="5"/>
  <c r="BR46" i="5"/>
  <c r="BT46" i="5"/>
  <c r="BS46" i="5"/>
  <c r="BH46" i="5"/>
  <c r="BI46" i="5"/>
  <c r="BM46" i="5"/>
  <c r="BJ46" i="5"/>
  <c r="BK46" i="5"/>
  <c r="BF46" i="5"/>
  <c r="BG46" i="5"/>
  <c r="BE46" i="5"/>
  <c r="AV46" i="5"/>
  <c r="BO46" i="5" s="1"/>
  <c r="BA46" i="5"/>
  <c r="BP46" i="5" s="1"/>
  <c r="AY46" i="5"/>
  <c r="AZ46" i="5"/>
  <c r="BD46" i="5"/>
  <c r="AU46" i="5"/>
  <c r="BB46" i="5" s="1"/>
  <c r="CE78" i="5"/>
  <c r="CK78" i="5"/>
  <c r="CF78" i="5"/>
  <c r="CI78" i="5"/>
  <c r="CA78" i="5"/>
  <c r="CC78" i="5"/>
  <c r="CD78" i="5"/>
  <c r="BW78" i="5"/>
  <c r="BU78" i="5"/>
  <c r="BY78" i="5"/>
  <c r="BV78" i="5"/>
  <c r="BT78" i="5"/>
  <c r="BR78" i="5"/>
  <c r="BQ78" i="5"/>
  <c r="BH78" i="5"/>
  <c r="BI78" i="5"/>
  <c r="BM78" i="5"/>
  <c r="BJ78" i="5"/>
  <c r="BK78" i="5"/>
  <c r="BS78" i="5"/>
  <c r="BF78" i="5"/>
  <c r="BG78" i="5"/>
  <c r="BE78" i="5"/>
  <c r="AV78" i="5"/>
  <c r="BC78" i="5" s="1"/>
  <c r="BD78" i="5"/>
  <c r="AY78" i="5"/>
  <c r="AZ78" i="5"/>
  <c r="AU78" i="5"/>
  <c r="BN78" i="5" s="1"/>
  <c r="BA78" i="5"/>
  <c r="BP78" i="5" s="1"/>
  <c r="CK110" i="5"/>
  <c r="CF110" i="5"/>
  <c r="CI110" i="5"/>
  <c r="CC110" i="5"/>
  <c r="CD110" i="5"/>
  <c r="CA110" i="5"/>
  <c r="BW110" i="5"/>
  <c r="BY110" i="5"/>
  <c r="BU110" i="5"/>
  <c r="BR110" i="5"/>
  <c r="CE110" i="5"/>
  <c r="BT110" i="5"/>
  <c r="BS110" i="5"/>
  <c r="BH110" i="5"/>
  <c r="BI110" i="5"/>
  <c r="BM110" i="5"/>
  <c r="BJ110" i="5"/>
  <c r="BV110" i="5"/>
  <c r="BK110" i="5"/>
  <c r="BQ110" i="5"/>
  <c r="BF110" i="5"/>
  <c r="BG110" i="5"/>
  <c r="BE110" i="5"/>
  <c r="AV110" i="5"/>
  <c r="AY110" i="5"/>
  <c r="AZ110" i="5"/>
  <c r="BD110" i="5"/>
  <c r="AU110" i="5"/>
  <c r="BA110" i="5"/>
  <c r="CG57" i="5"/>
  <c r="CJ57" i="5"/>
  <c r="CE57" i="5"/>
  <c r="CK57" i="5"/>
  <c r="CH57" i="5"/>
  <c r="CF57" i="5"/>
  <c r="CD57" i="5"/>
  <c r="CA57" i="5"/>
  <c r="BV57" i="5"/>
  <c r="BY57" i="5"/>
  <c r="BZ57" i="5"/>
  <c r="BX57" i="5"/>
  <c r="CC57" i="5"/>
  <c r="BW57" i="5"/>
  <c r="CI57" i="5"/>
  <c r="BU57" i="5"/>
  <c r="BQ57" i="5"/>
  <c r="BG57" i="5"/>
  <c r="BH57" i="5"/>
  <c r="BL57" i="5"/>
  <c r="BT57" i="5"/>
  <c r="BS57" i="5"/>
  <c r="BM57" i="5"/>
  <c r="BJ57" i="5"/>
  <c r="BR57" i="5"/>
  <c r="BI57" i="5"/>
  <c r="BD57" i="5"/>
  <c r="BE57" i="5"/>
  <c r="BF57" i="5"/>
  <c r="BK57" i="5"/>
  <c r="AZ57" i="5"/>
  <c r="BA57" i="5"/>
  <c r="BP57" i="5" s="1"/>
  <c r="AU57" i="5"/>
  <c r="BN57" i="5" s="1"/>
  <c r="AV57" i="5"/>
  <c r="BC57" i="5" s="1"/>
  <c r="AY57" i="5"/>
  <c r="AX115" i="5"/>
  <c r="AX116" i="5" s="1"/>
  <c r="BP2" i="5"/>
  <c r="CJ65" i="5"/>
  <c r="CH65" i="5"/>
  <c r="CE65" i="5"/>
  <c r="CK65" i="5"/>
  <c r="CF65" i="5"/>
  <c r="CD65" i="5"/>
  <c r="CA65" i="5"/>
  <c r="BX65" i="5"/>
  <c r="CG65" i="5"/>
  <c r="CC65" i="5"/>
  <c r="CI65" i="5"/>
  <c r="BW65" i="5"/>
  <c r="BU65" i="5"/>
  <c r="BZ65" i="5"/>
  <c r="BV65" i="5"/>
  <c r="BT65" i="5"/>
  <c r="BQ65" i="5"/>
  <c r="BS65" i="5"/>
  <c r="BR65" i="5"/>
  <c r="BL65" i="5"/>
  <c r="BG65" i="5"/>
  <c r="BY65" i="5"/>
  <c r="BH65" i="5"/>
  <c r="BM65" i="5"/>
  <c r="BJ65" i="5"/>
  <c r="BD65" i="5"/>
  <c r="BE65" i="5"/>
  <c r="BF65" i="5"/>
  <c r="BI65" i="5"/>
  <c r="BK65" i="5"/>
  <c r="AZ65" i="5"/>
  <c r="BA65" i="5"/>
  <c r="BP65" i="5" s="1"/>
  <c r="AV65" i="5"/>
  <c r="BO65" i="5" s="1"/>
  <c r="AU65" i="5"/>
  <c r="BN65" i="5" s="1"/>
  <c r="AY65" i="5"/>
  <c r="CK89" i="5"/>
  <c r="CF89" i="5"/>
  <c r="CD89" i="5"/>
  <c r="CE89" i="5"/>
  <c r="CI89" i="5"/>
  <c r="CA89" i="5"/>
  <c r="BW89" i="5"/>
  <c r="BT89" i="5"/>
  <c r="BY89" i="5"/>
  <c r="CC89" i="5"/>
  <c r="BV89" i="5"/>
  <c r="BU89" i="5"/>
  <c r="BS89" i="5"/>
  <c r="BR89" i="5"/>
  <c r="BG89" i="5"/>
  <c r="BH89" i="5"/>
  <c r="BM89" i="5"/>
  <c r="BJ89" i="5"/>
  <c r="BQ89" i="5"/>
  <c r="BD89" i="5"/>
  <c r="BE89" i="5"/>
  <c r="BF89" i="5"/>
  <c r="BK89" i="5"/>
  <c r="AZ89" i="5"/>
  <c r="BA89" i="5"/>
  <c r="BP89" i="5" s="1"/>
  <c r="AU89" i="5"/>
  <c r="BB89" i="5" s="1"/>
  <c r="AV89" i="5"/>
  <c r="BC89" i="5" s="1"/>
  <c r="BI89" i="5"/>
  <c r="AY89" i="5"/>
  <c r="G11" i="12"/>
  <c r="E5" i="10"/>
  <c r="BN58" i="5"/>
  <c r="BC74" i="5"/>
  <c r="BN90" i="5"/>
  <c r="BZ90" i="5" s="1"/>
  <c r="CE22" i="5"/>
  <c r="CK22" i="5"/>
  <c r="CF22" i="5"/>
  <c r="CI22" i="5"/>
  <c r="CA22" i="5"/>
  <c r="BY22" i="5"/>
  <c r="BW22" i="5"/>
  <c r="BV22" i="5"/>
  <c r="BT22" i="5"/>
  <c r="BU22" i="5"/>
  <c r="BQ22" i="5"/>
  <c r="BR22" i="5"/>
  <c r="CC22" i="5"/>
  <c r="BH22" i="5"/>
  <c r="BI22" i="5"/>
  <c r="BM22" i="5"/>
  <c r="BJ22" i="5"/>
  <c r="BK22" i="5"/>
  <c r="CD22" i="5"/>
  <c r="BF22" i="5"/>
  <c r="BS22" i="5"/>
  <c r="BG22" i="5"/>
  <c r="BE22" i="5"/>
  <c r="AV22" i="5"/>
  <c r="BC22" i="5" s="1"/>
  <c r="BA22" i="5"/>
  <c r="BP22" i="5" s="1"/>
  <c r="BD22" i="5"/>
  <c r="AY22" i="5"/>
  <c r="AZ22" i="5"/>
  <c r="AU22" i="5"/>
  <c r="BB22" i="5" s="1"/>
  <c r="CE54" i="5"/>
  <c r="CK54" i="5"/>
  <c r="CF54" i="5"/>
  <c r="CI54" i="5"/>
  <c r="CA54" i="5"/>
  <c r="BW54" i="5"/>
  <c r="CC54" i="5"/>
  <c r="BU54" i="5"/>
  <c r="BV54" i="5"/>
  <c r="BY54" i="5"/>
  <c r="BQ54" i="5"/>
  <c r="BR54" i="5"/>
  <c r="CD54" i="5"/>
  <c r="BH54" i="5"/>
  <c r="BI54" i="5"/>
  <c r="BM54" i="5"/>
  <c r="BJ54" i="5"/>
  <c r="BS54" i="5"/>
  <c r="BK54" i="5"/>
  <c r="BT54" i="5"/>
  <c r="BF54" i="5"/>
  <c r="BG54" i="5"/>
  <c r="BE54" i="5"/>
  <c r="BD54" i="5"/>
  <c r="AV54" i="5"/>
  <c r="BO54" i="5" s="1"/>
  <c r="AY54" i="5"/>
  <c r="AZ54" i="5"/>
  <c r="BA54" i="5"/>
  <c r="BP54" i="5" s="1"/>
  <c r="AU54" i="5"/>
  <c r="BB54" i="5" s="1"/>
  <c r="CJ86" i="5"/>
  <c r="CH86" i="5"/>
  <c r="CK86" i="5"/>
  <c r="CF86" i="5"/>
  <c r="CI86" i="5"/>
  <c r="CA86" i="5"/>
  <c r="BX86" i="5"/>
  <c r="BZ86" i="5"/>
  <c r="BW86" i="5"/>
  <c r="CE86" i="5"/>
  <c r="CD86" i="5"/>
  <c r="CC86" i="5"/>
  <c r="CG86" i="5"/>
  <c r="BY86" i="5"/>
  <c r="BU86" i="5"/>
  <c r="BT86" i="5"/>
  <c r="BV86" i="5"/>
  <c r="BR86" i="5"/>
  <c r="BL86" i="5"/>
  <c r="BH86" i="5"/>
  <c r="BI86" i="5"/>
  <c r="BM86" i="5"/>
  <c r="BJ86" i="5"/>
  <c r="BK86" i="5"/>
  <c r="BQ86" i="5"/>
  <c r="BS86" i="5"/>
  <c r="BF86" i="5"/>
  <c r="BG86" i="5"/>
  <c r="BE86" i="5"/>
  <c r="AV86" i="5"/>
  <c r="BO86" i="5" s="1"/>
  <c r="BD86" i="5"/>
  <c r="AY86" i="5"/>
  <c r="BA86" i="5"/>
  <c r="BP86" i="5" s="1"/>
  <c r="AZ86" i="5"/>
  <c r="AU86" i="5"/>
  <c r="BB86" i="5" s="1"/>
  <c r="CE17" i="5"/>
  <c r="CK17" i="5"/>
  <c r="CF17" i="5"/>
  <c r="CD17" i="5"/>
  <c r="CI17" i="5"/>
  <c r="CA17" i="5"/>
  <c r="BY17" i="5"/>
  <c r="CC17" i="5"/>
  <c r="BW17" i="5"/>
  <c r="BU17" i="5"/>
  <c r="BV17" i="5"/>
  <c r="BQ17" i="5"/>
  <c r="BF17" i="5"/>
  <c r="BT17" i="5"/>
  <c r="BG17" i="5"/>
  <c r="BH17" i="5"/>
  <c r="BI17" i="5"/>
  <c r="BM17" i="5"/>
  <c r="BJ17" i="5"/>
  <c r="BS17" i="5"/>
  <c r="BD17" i="5"/>
  <c r="BR17" i="5"/>
  <c r="BE17" i="5"/>
  <c r="BK17" i="5"/>
  <c r="AZ17" i="5"/>
  <c r="BA17" i="5"/>
  <c r="BP17" i="5" s="1"/>
  <c r="AU17" i="5"/>
  <c r="BB17" i="5" s="1"/>
  <c r="AV17" i="5"/>
  <c r="BC17" i="5" s="1"/>
  <c r="AY17" i="5"/>
  <c r="CJ49" i="5"/>
  <c r="CH49" i="5"/>
  <c r="CE49" i="5"/>
  <c r="CK49" i="5"/>
  <c r="CF49" i="5"/>
  <c r="CD49" i="5"/>
  <c r="CG49" i="5"/>
  <c r="CI49" i="5"/>
  <c r="CA49" i="5"/>
  <c r="BX49" i="5"/>
  <c r="CC49" i="5"/>
  <c r="BZ49" i="5"/>
  <c r="BV49" i="5"/>
  <c r="BQ49" i="5"/>
  <c r="BL49" i="5"/>
  <c r="BY49" i="5"/>
  <c r="BS49" i="5"/>
  <c r="BG49" i="5"/>
  <c r="BT49" i="5"/>
  <c r="BR49" i="5"/>
  <c r="BH49" i="5"/>
  <c r="BW49" i="5"/>
  <c r="BM49" i="5"/>
  <c r="BJ49" i="5"/>
  <c r="BD49" i="5"/>
  <c r="BE49" i="5"/>
  <c r="BK49" i="5"/>
  <c r="BF49" i="5"/>
  <c r="AZ49" i="5"/>
  <c r="BA49" i="5"/>
  <c r="BP49" i="5" s="1"/>
  <c r="BI49" i="5"/>
  <c r="BU49" i="5"/>
  <c r="AU49" i="5"/>
  <c r="BB49" i="5" s="1"/>
  <c r="AV49" i="5"/>
  <c r="BO49" i="5" s="1"/>
  <c r="AY49" i="5"/>
  <c r="BB10" i="5"/>
  <c r="BZ10" i="5" s="1"/>
  <c r="BB74" i="5"/>
  <c r="CG97" i="5"/>
  <c r="CK97" i="5"/>
  <c r="CJ97" i="5"/>
  <c r="CF97" i="5"/>
  <c r="CD97" i="5"/>
  <c r="CE97" i="5"/>
  <c r="BZ97" i="5"/>
  <c r="CA97" i="5"/>
  <c r="CI97" i="5"/>
  <c r="CH97" i="5"/>
  <c r="CC97" i="5"/>
  <c r="BY97" i="5"/>
  <c r="BX97" i="5"/>
  <c r="BV97" i="5"/>
  <c r="BT97" i="5"/>
  <c r="BW97" i="5"/>
  <c r="BU97" i="5"/>
  <c r="BG97" i="5"/>
  <c r="BQ97" i="5"/>
  <c r="BH97" i="5"/>
  <c r="BS97" i="5"/>
  <c r="BR97" i="5"/>
  <c r="BM97" i="5"/>
  <c r="BL97" i="5"/>
  <c r="BJ97" i="5"/>
  <c r="BD97" i="5"/>
  <c r="BI97" i="5"/>
  <c r="BE97" i="5"/>
  <c r="BF97" i="5"/>
  <c r="BK97" i="5"/>
  <c r="AZ97" i="5"/>
  <c r="BA97" i="5"/>
  <c r="BP97" i="5" s="1"/>
  <c r="AU97" i="5"/>
  <c r="BN97" i="5" s="1"/>
  <c r="AV97" i="5"/>
  <c r="BO97" i="5" s="1"/>
  <c r="AY97" i="5"/>
  <c r="CG30" i="5"/>
  <c r="CE30" i="5"/>
  <c r="CK30" i="5"/>
  <c r="CF30" i="5"/>
  <c r="CI30" i="5"/>
  <c r="CJ30" i="5"/>
  <c r="CA30" i="5"/>
  <c r="BY30" i="5"/>
  <c r="CC30" i="5"/>
  <c r="CD30" i="5"/>
  <c r="BW30" i="5"/>
  <c r="BX30" i="5"/>
  <c r="CH30" i="5"/>
  <c r="BZ30" i="5"/>
  <c r="BU30" i="5"/>
  <c r="BT30" i="5"/>
  <c r="BV30" i="5"/>
  <c r="BQ30" i="5"/>
  <c r="BR30" i="5"/>
  <c r="BH30" i="5"/>
  <c r="BI30" i="5"/>
  <c r="BS30" i="5"/>
  <c r="BM30" i="5"/>
  <c r="BJ30" i="5"/>
  <c r="BK30" i="5"/>
  <c r="BL30" i="5"/>
  <c r="BG30" i="5"/>
  <c r="BF30" i="5"/>
  <c r="BE30" i="5"/>
  <c r="AV30" i="5"/>
  <c r="BC30" i="5" s="1"/>
  <c r="AY30" i="5"/>
  <c r="BD30" i="5"/>
  <c r="AZ30" i="5"/>
  <c r="BA30" i="5"/>
  <c r="BP30" i="5" s="1"/>
  <c r="AU30" i="5"/>
  <c r="BN30" i="5" s="1"/>
  <c r="CJ62" i="5"/>
  <c r="CH62" i="5"/>
  <c r="CE62" i="5"/>
  <c r="CK62" i="5"/>
  <c r="CF62" i="5"/>
  <c r="CI62" i="5"/>
  <c r="CA62" i="5"/>
  <c r="CC62" i="5"/>
  <c r="BX62" i="5"/>
  <c r="CD62" i="5"/>
  <c r="BW62" i="5"/>
  <c r="CG62" i="5"/>
  <c r="BZ62" i="5"/>
  <c r="BV62" i="5"/>
  <c r="BU62" i="5"/>
  <c r="BY62" i="5"/>
  <c r="BQ62" i="5"/>
  <c r="BT62" i="5"/>
  <c r="BR62" i="5"/>
  <c r="BL62" i="5"/>
  <c r="BH62" i="5"/>
  <c r="BI62" i="5"/>
  <c r="BM62" i="5"/>
  <c r="BJ62" i="5"/>
  <c r="BK62" i="5"/>
  <c r="BS62" i="5"/>
  <c r="BF62" i="5"/>
  <c r="BG62" i="5"/>
  <c r="BE62" i="5"/>
  <c r="AV62" i="5"/>
  <c r="BO62" i="5" s="1"/>
  <c r="BD62" i="5"/>
  <c r="AY62" i="5"/>
  <c r="BA62" i="5"/>
  <c r="BP62" i="5" s="1"/>
  <c r="AZ62" i="5"/>
  <c r="AU62" i="5"/>
  <c r="BN62" i="5" s="1"/>
  <c r="CK94" i="5"/>
  <c r="CG94" i="5"/>
  <c r="CF94" i="5"/>
  <c r="CJ94" i="5"/>
  <c r="CI94" i="5"/>
  <c r="CH94" i="5"/>
  <c r="CA94" i="5"/>
  <c r="CC94" i="5"/>
  <c r="CD94" i="5"/>
  <c r="BX94" i="5"/>
  <c r="BW94" i="5"/>
  <c r="CE94" i="5"/>
  <c r="BY94" i="5"/>
  <c r="BU94" i="5"/>
  <c r="BZ94" i="5"/>
  <c r="BR94" i="5"/>
  <c r="BV94" i="5"/>
  <c r="BH94" i="5"/>
  <c r="BQ94" i="5"/>
  <c r="BI94" i="5"/>
  <c r="BT94" i="5"/>
  <c r="BS94" i="5"/>
  <c r="BM94" i="5"/>
  <c r="BJ94" i="5"/>
  <c r="BL94" i="5"/>
  <c r="BK94" i="5"/>
  <c r="BF94" i="5"/>
  <c r="BG94" i="5"/>
  <c r="BE94" i="5"/>
  <c r="AV94" i="5"/>
  <c r="BC94" i="5" s="1"/>
  <c r="AY94" i="5"/>
  <c r="BD94" i="5"/>
  <c r="AZ94" i="5"/>
  <c r="AU94" i="5"/>
  <c r="BN94" i="5" s="1"/>
  <c r="BA94" i="5"/>
  <c r="BP94" i="5" s="1"/>
  <c r="CE25" i="5"/>
  <c r="CK25" i="5"/>
  <c r="CF25" i="5"/>
  <c r="CD25" i="5"/>
  <c r="CI25" i="5"/>
  <c r="CC25" i="5"/>
  <c r="BY25" i="5"/>
  <c r="BW25" i="5"/>
  <c r="BQ25" i="5"/>
  <c r="CA25" i="5"/>
  <c r="BS25" i="5"/>
  <c r="BF25" i="5"/>
  <c r="BU25" i="5"/>
  <c r="BR25" i="5"/>
  <c r="BG25" i="5"/>
  <c r="BT25" i="5"/>
  <c r="BH25" i="5"/>
  <c r="BM25" i="5"/>
  <c r="BJ25" i="5"/>
  <c r="BD25" i="5"/>
  <c r="BE25" i="5"/>
  <c r="BV25" i="5"/>
  <c r="BK25" i="5"/>
  <c r="BI25" i="5"/>
  <c r="AZ25" i="5"/>
  <c r="BA25" i="5"/>
  <c r="BP25" i="5" s="1"/>
  <c r="AV25" i="5"/>
  <c r="BO25" i="5" s="1"/>
  <c r="AU25" i="5"/>
  <c r="BN25" i="5" s="1"/>
  <c r="AY25" i="5"/>
  <c r="CE9" i="5"/>
  <c r="CK9" i="5"/>
  <c r="CG9" i="5"/>
  <c r="CF9" i="5"/>
  <c r="CD9" i="5"/>
  <c r="CI9" i="5"/>
  <c r="BY9" i="5"/>
  <c r="CA9" i="5"/>
  <c r="BV9" i="5"/>
  <c r="BT9" i="5"/>
  <c r="CC9" i="5"/>
  <c r="BU9" i="5"/>
  <c r="BQ9" i="5"/>
  <c r="BW9" i="5"/>
  <c r="BF9" i="5"/>
  <c r="BG9" i="5"/>
  <c r="BS9" i="5"/>
  <c r="BH9" i="5"/>
  <c r="BR9" i="5"/>
  <c r="BI9" i="5"/>
  <c r="BM9" i="5"/>
  <c r="BJ9" i="5"/>
  <c r="BK9" i="5"/>
  <c r="BD9" i="5"/>
  <c r="BE9" i="5"/>
  <c r="AZ9" i="5"/>
  <c r="BA9" i="5"/>
  <c r="BP9" i="5" s="1"/>
  <c r="AV9" i="5"/>
  <c r="BC9" i="5" s="1"/>
  <c r="AU9" i="5"/>
  <c r="BN9" i="5" s="1"/>
  <c r="AY9" i="5"/>
  <c r="BC2" i="5"/>
  <c r="CG81" i="5"/>
  <c r="CJ81" i="5"/>
  <c r="CH81" i="5"/>
  <c r="CK81" i="5"/>
  <c r="CF81" i="5"/>
  <c r="CD81" i="5"/>
  <c r="CI81" i="5"/>
  <c r="CE81" i="5"/>
  <c r="CA81" i="5"/>
  <c r="CC81" i="5"/>
  <c r="BX81" i="5"/>
  <c r="BY81" i="5"/>
  <c r="BV81" i="5"/>
  <c r="BZ81" i="5"/>
  <c r="BW81" i="5"/>
  <c r="BU81" i="5"/>
  <c r="BT81" i="5"/>
  <c r="BQ81" i="5"/>
  <c r="BG81" i="5"/>
  <c r="BL81" i="5"/>
  <c r="BH81" i="5"/>
  <c r="BM81" i="5"/>
  <c r="BJ81" i="5"/>
  <c r="BS81" i="5"/>
  <c r="BD81" i="5"/>
  <c r="BI81" i="5"/>
  <c r="BE81" i="5"/>
  <c r="BK81" i="5"/>
  <c r="BF81" i="5"/>
  <c r="BR81" i="5"/>
  <c r="AZ81" i="5"/>
  <c r="BA81" i="5"/>
  <c r="BP81" i="5" s="1"/>
  <c r="AU81" i="5"/>
  <c r="BB81" i="5" s="1"/>
  <c r="AV81" i="5"/>
  <c r="BC81" i="5" s="1"/>
  <c r="AY81" i="5"/>
  <c r="CG41" i="5"/>
  <c r="CE41" i="5"/>
  <c r="CK41" i="5"/>
  <c r="CF41" i="5"/>
  <c r="CD41" i="5"/>
  <c r="CI41" i="5"/>
  <c r="BW41" i="5"/>
  <c r="CA41" i="5"/>
  <c r="CC41" i="5"/>
  <c r="BT41" i="5"/>
  <c r="BU41" i="5"/>
  <c r="BY41" i="5"/>
  <c r="BQ41" i="5"/>
  <c r="BR41" i="5"/>
  <c r="BV41" i="5"/>
  <c r="BG41" i="5"/>
  <c r="BH41" i="5"/>
  <c r="BM41" i="5"/>
  <c r="BJ41" i="5"/>
  <c r="BK41" i="5"/>
  <c r="BD41" i="5"/>
  <c r="BE41" i="5"/>
  <c r="BI41" i="5"/>
  <c r="BF41" i="5"/>
  <c r="AZ41" i="5"/>
  <c r="BA41" i="5"/>
  <c r="BP41" i="5" s="1"/>
  <c r="AU41" i="5"/>
  <c r="BN41" i="5" s="1"/>
  <c r="AV41" i="5"/>
  <c r="BO41" i="5" s="1"/>
  <c r="BS41" i="5"/>
  <c r="AY41" i="5"/>
  <c r="CJ6" i="5"/>
  <c r="CH6" i="5"/>
  <c r="CE6" i="5"/>
  <c r="CK6" i="5"/>
  <c r="CF6" i="5"/>
  <c r="CI6" i="5"/>
  <c r="CG6" i="5"/>
  <c r="CA6" i="5"/>
  <c r="BY6" i="5"/>
  <c r="BX6" i="5"/>
  <c r="BW6" i="5"/>
  <c r="CD6" i="5"/>
  <c r="BV6" i="5"/>
  <c r="CC6" i="5"/>
  <c r="BT6" i="5"/>
  <c r="BU6" i="5"/>
  <c r="BQ6" i="5"/>
  <c r="BR6" i="5"/>
  <c r="BZ6" i="5"/>
  <c r="BL6" i="5"/>
  <c r="BH6" i="5"/>
  <c r="BS6" i="5"/>
  <c r="BI6" i="5"/>
  <c r="BM6" i="5"/>
  <c r="BJ6" i="5"/>
  <c r="BK6" i="5"/>
  <c r="BF6" i="5"/>
  <c r="BG6" i="5"/>
  <c r="BE6" i="5"/>
  <c r="AV6" i="5"/>
  <c r="BD6" i="5"/>
  <c r="AY6" i="5"/>
  <c r="AZ6" i="5"/>
  <c r="BA6" i="5"/>
  <c r="BP6" i="5" s="1"/>
  <c r="AU6" i="5"/>
  <c r="BB6" i="5" s="1"/>
  <c r="CJ38" i="5"/>
  <c r="CE38" i="5"/>
  <c r="CK38" i="5"/>
  <c r="CH38" i="5"/>
  <c r="CF38" i="5"/>
  <c r="CI38" i="5"/>
  <c r="CA38" i="5"/>
  <c r="BZ38" i="5"/>
  <c r="BX38" i="5"/>
  <c r="BW38" i="5"/>
  <c r="CG38" i="5"/>
  <c r="CD38" i="5"/>
  <c r="CC38" i="5"/>
  <c r="BU38" i="5"/>
  <c r="BV38" i="5"/>
  <c r="BQ38" i="5"/>
  <c r="BY38" i="5"/>
  <c r="BR38" i="5"/>
  <c r="BH38" i="5"/>
  <c r="BL38" i="5"/>
  <c r="BI38" i="5"/>
  <c r="BM38" i="5"/>
  <c r="BJ38" i="5"/>
  <c r="BK38" i="5"/>
  <c r="BS38" i="5"/>
  <c r="BF38" i="5"/>
  <c r="BT38" i="5"/>
  <c r="BE38" i="5"/>
  <c r="BG38" i="5"/>
  <c r="AV38" i="5"/>
  <c r="BC38" i="5" s="1"/>
  <c r="AY38" i="5"/>
  <c r="BA38" i="5"/>
  <c r="BP38" i="5" s="1"/>
  <c r="AZ38" i="5"/>
  <c r="BD38" i="5"/>
  <c r="AU38" i="5"/>
  <c r="BB38" i="5" s="1"/>
  <c r="CE70" i="5"/>
  <c r="CK70" i="5"/>
  <c r="CF70" i="5"/>
  <c r="CI70" i="5"/>
  <c r="CG70" i="5"/>
  <c r="CJ70" i="5"/>
  <c r="CA70" i="5"/>
  <c r="CH70" i="5"/>
  <c r="BZ70" i="5"/>
  <c r="BW70" i="5"/>
  <c r="BX70" i="5"/>
  <c r="BV70" i="5"/>
  <c r="BY70" i="5"/>
  <c r="CD70" i="5"/>
  <c r="BU70" i="5"/>
  <c r="CC70" i="5"/>
  <c r="BT70" i="5"/>
  <c r="BQ70" i="5"/>
  <c r="BR70" i="5"/>
  <c r="BH70" i="5"/>
  <c r="BS70" i="5"/>
  <c r="BI70" i="5"/>
  <c r="BM70" i="5"/>
  <c r="BJ70" i="5"/>
  <c r="BK70" i="5"/>
  <c r="BL70" i="5"/>
  <c r="BF70" i="5"/>
  <c r="BG70" i="5"/>
  <c r="BE70" i="5"/>
  <c r="AV70" i="5"/>
  <c r="BC70" i="5" s="1"/>
  <c r="BD70" i="5"/>
  <c r="AY70" i="5"/>
  <c r="AZ70" i="5"/>
  <c r="AU70" i="5"/>
  <c r="BN70" i="5" s="1"/>
  <c r="BA70" i="5"/>
  <c r="BP70" i="5" s="1"/>
  <c r="CJ102" i="5"/>
  <c r="CK102" i="5"/>
  <c r="CH102" i="5"/>
  <c r="CF102" i="5"/>
  <c r="CI102" i="5"/>
  <c r="CG102" i="5"/>
  <c r="BZ102" i="5"/>
  <c r="BX102" i="5"/>
  <c r="BW102" i="5"/>
  <c r="CC102" i="5"/>
  <c r="CA102" i="5"/>
  <c r="CE102" i="5"/>
  <c r="BU102" i="5"/>
  <c r="CD102" i="5"/>
  <c r="BV102" i="5"/>
  <c r="BR102" i="5"/>
  <c r="BY102" i="5"/>
  <c r="BH102" i="5"/>
  <c r="BL102" i="5"/>
  <c r="BI102" i="5"/>
  <c r="BM102" i="5"/>
  <c r="BJ102" i="5"/>
  <c r="BK102" i="5"/>
  <c r="BT102" i="5"/>
  <c r="BS102" i="5"/>
  <c r="BF102" i="5"/>
  <c r="BQ102" i="5"/>
  <c r="BG102" i="5"/>
  <c r="BE102" i="5"/>
  <c r="AV102" i="5"/>
  <c r="BO102" i="5" s="1"/>
  <c r="AY102" i="5"/>
  <c r="AZ102" i="5"/>
  <c r="BD102" i="5"/>
  <c r="AU102" i="5"/>
  <c r="BN102" i="5" s="1"/>
  <c r="BA102" i="5"/>
  <c r="BP102" i="5" s="1"/>
  <c r="BB2" i="5"/>
  <c r="BD2" i="5"/>
  <c r="AT115" i="5"/>
  <c r="AT116" i="5" s="1"/>
  <c r="F67" i="12"/>
  <c r="C12" i="7"/>
  <c r="C13" i="7"/>
  <c r="C14" i="7"/>
  <c r="G63" i="13" l="1"/>
  <c r="I63" i="13" s="1"/>
  <c r="G63" i="17"/>
  <c r="I63" i="17" s="1"/>
  <c r="G63" i="14"/>
  <c r="I63" i="14" s="1"/>
  <c r="G63" i="12"/>
  <c r="I63" i="12" s="1"/>
  <c r="G63" i="15"/>
  <c r="I63" i="15" s="1"/>
  <c r="AS135" i="5"/>
  <c r="E11" i="11" s="1"/>
  <c r="E10" i="11"/>
  <c r="AS137" i="5"/>
  <c r="E13" i="11" s="1"/>
  <c r="E12" i="11"/>
  <c r="AY153" i="5"/>
  <c r="K29" i="11" s="1"/>
  <c r="K23" i="11"/>
  <c r="G23" i="11"/>
  <c r="AU153" i="5"/>
  <c r="G29" i="11" s="1"/>
  <c r="AX153" i="5"/>
  <c r="J29" i="11" s="1"/>
  <c r="J23" i="11"/>
  <c r="F9" i="11"/>
  <c r="AT143" i="5"/>
  <c r="G9" i="11"/>
  <c r="AU143" i="5"/>
  <c r="F23" i="11"/>
  <c r="AT153" i="5"/>
  <c r="F29" i="11" s="1"/>
  <c r="M23" i="11"/>
  <c r="BA153" i="5"/>
  <c r="M29" i="11" s="1"/>
  <c r="AS133" i="5"/>
  <c r="E8" i="11"/>
  <c r="AS139" i="5"/>
  <c r="E15" i="11" s="1"/>
  <c r="E14" i="11"/>
  <c r="H23" i="11"/>
  <c r="AV153" i="5"/>
  <c r="H29" i="11" s="1"/>
  <c r="AB45" i="17"/>
  <c r="G39" i="17"/>
  <c r="J39" i="17" s="1"/>
  <c r="J11" i="17"/>
  <c r="AA11" i="17"/>
  <c r="BN108" i="5"/>
  <c r="CB19" i="5"/>
  <c r="CB47" i="5"/>
  <c r="BO83" i="5"/>
  <c r="BB77" i="5"/>
  <c r="BZ77" i="5" s="1"/>
  <c r="BB5" i="5"/>
  <c r="CB100" i="5"/>
  <c r="BB69" i="5"/>
  <c r="BZ69" i="5" s="1"/>
  <c r="BR123" i="5"/>
  <c r="BR124" i="5" s="1"/>
  <c r="BO80" i="5"/>
  <c r="BB64" i="5"/>
  <c r="BZ64" i="5" s="1"/>
  <c r="BC99" i="5"/>
  <c r="CB79" i="5"/>
  <c r="AV134" i="5"/>
  <c r="H10" i="11" s="1"/>
  <c r="AV140" i="5"/>
  <c r="AV132" i="5"/>
  <c r="AY138" i="5"/>
  <c r="AY132" i="5"/>
  <c r="BE123" i="5"/>
  <c r="BE124" i="5" s="1"/>
  <c r="AV138" i="5"/>
  <c r="BF123" i="5"/>
  <c r="BF124" i="5" s="1"/>
  <c r="BC95" i="5"/>
  <c r="AV136" i="5"/>
  <c r="H12" i="11" s="1"/>
  <c r="AY136" i="5"/>
  <c r="K12" i="11" s="1"/>
  <c r="CI123" i="5"/>
  <c r="CI124" i="5" s="1"/>
  <c r="AY140" i="5"/>
  <c r="AY134" i="5"/>
  <c r="K10" i="11" s="1"/>
  <c r="BG123" i="5"/>
  <c r="BG124" i="5" s="1"/>
  <c r="CA123" i="5"/>
  <c r="CA124" i="5" s="1"/>
  <c r="L12" i="17" s="1"/>
  <c r="CF123" i="5"/>
  <c r="CF124" i="5" s="1"/>
  <c r="BK123" i="5"/>
  <c r="BK124" i="5" s="1"/>
  <c r="BM123" i="5"/>
  <c r="BM124" i="5" s="1"/>
  <c r="I12" i="17" s="1"/>
  <c r="I40" i="17" s="1"/>
  <c r="BQ123" i="5"/>
  <c r="BQ124" i="5" s="1"/>
  <c r="BD123" i="5"/>
  <c r="BD124" i="5" s="1"/>
  <c r="BH123" i="5"/>
  <c r="BH124" i="5" s="1"/>
  <c r="CC123" i="5"/>
  <c r="CC124" i="5" s="1"/>
  <c r="BT123" i="5"/>
  <c r="BT124" i="5" s="1"/>
  <c r="BJ123" i="5"/>
  <c r="BJ124" i="5" s="1"/>
  <c r="BW123" i="5"/>
  <c r="BW124" i="5" s="1"/>
  <c r="AY123" i="5"/>
  <c r="AY124" i="5" s="1"/>
  <c r="E50" i="10" s="1"/>
  <c r="BN110" i="5"/>
  <c r="AU123" i="5"/>
  <c r="AU124" i="5" s="1"/>
  <c r="F12" i="17"/>
  <c r="F40" i="17" s="1"/>
  <c r="D52" i="10"/>
  <c r="BP110" i="5"/>
  <c r="BP123" i="5" s="1"/>
  <c r="BP124" i="5" s="1"/>
  <c r="BA123" i="5"/>
  <c r="BA124" i="5" s="1"/>
  <c r="AZ123" i="5"/>
  <c r="AZ124" i="5" s="1"/>
  <c r="BC110" i="5"/>
  <c r="AV123" i="5"/>
  <c r="AV124" i="5" s="1"/>
  <c r="F10" i="17"/>
  <c r="D50" i="10"/>
  <c r="CE123" i="5"/>
  <c r="CE124" i="5" s="1"/>
  <c r="BV123" i="5"/>
  <c r="BV124" i="5" s="1"/>
  <c r="BU123" i="5"/>
  <c r="BU124" i="5" s="1"/>
  <c r="CK123" i="5"/>
  <c r="CK124" i="5" s="1"/>
  <c r="BY123" i="5"/>
  <c r="BY124" i="5" s="1"/>
  <c r="CB45" i="5"/>
  <c r="BI123" i="5"/>
  <c r="BI124" i="5" s="1"/>
  <c r="BS123" i="5"/>
  <c r="BS124" i="5" s="1"/>
  <c r="CD123" i="5"/>
  <c r="CD124" i="5" s="1"/>
  <c r="CB91" i="5"/>
  <c r="BN100" i="5"/>
  <c r="BO21" i="5"/>
  <c r="BN52" i="5"/>
  <c r="BZ52" i="5" s="1"/>
  <c r="CB10" i="5"/>
  <c r="BO67" i="5"/>
  <c r="CB32" i="5"/>
  <c r="CB4" i="5"/>
  <c r="BC19" i="5"/>
  <c r="CB53" i="5"/>
  <c r="BO3" i="5"/>
  <c r="CB60" i="5"/>
  <c r="CB75" i="5"/>
  <c r="BO7" i="5"/>
  <c r="CB101" i="5"/>
  <c r="BN68" i="5"/>
  <c r="BC107" i="5"/>
  <c r="BN53" i="5"/>
  <c r="BZ53" i="5" s="1"/>
  <c r="L12" i="15"/>
  <c r="J39" i="10"/>
  <c r="M12" i="15"/>
  <c r="M40" i="15" s="1"/>
  <c r="K39" i="10"/>
  <c r="AA39" i="15"/>
  <c r="J39" i="15"/>
  <c r="G12" i="15"/>
  <c r="E39" i="10"/>
  <c r="BC109" i="5"/>
  <c r="BC121" i="5" s="1"/>
  <c r="BC122" i="5" s="1"/>
  <c r="AV121" i="5"/>
  <c r="AV122" i="5" s="1"/>
  <c r="BB109" i="5"/>
  <c r="BB121" i="5" s="1"/>
  <c r="BB122" i="5" s="1"/>
  <c r="AU121" i="5"/>
  <c r="AU122" i="5" s="1"/>
  <c r="F10" i="14"/>
  <c r="D26" i="10"/>
  <c r="G10" i="15"/>
  <c r="E37" i="10"/>
  <c r="BP109" i="5"/>
  <c r="BP121" i="5" s="1"/>
  <c r="BP122" i="5" s="1"/>
  <c r="BA121" i="5"/>
  <c r="BA122" i="5" s="1"/>
  <c r="F12" i="14"/>
  <c r="F40" i="14" s="1"/>
  <c r="D28" i="10"/>
  <c r="H27" i="10"/>
  <c r="AA11" i="14"/>
  <c r="J11" i="14"/>
  <c r="G39" i="14"/>
  <c r="AB11" i="14"/>
  <c r="AB45" i="14" s="1"/>
  <c r="F10" i="15"/>
  <c r="D37" i="10"/>
  <c r="I12" i="15"/>
  <c r="I40" i="15" s="1"/>
  <c r="G39" i="10"/>
  <c r="F12" i="15"/>
  <c r="F40" i="15" s="1"/>
  <c r="D39" i="10"/>
  <c r="CB7" i="5"/>
  <c r="CB84" i="5"/>
  <c r="F75" i="14"/>
  <c r="F80" i="14" s="1"/>
  <c r="CB99" i="5"/>
  <c r="BB83" i="5"/>
  <c r="CB40" i="5"/>
  <c r="BL44" i="5"/>
  <c r="BX99" i="5"/>
  <c r="BN76" i="5"/>
  <c r="CB87" i="5"/>
  <c r="CB55" i="5"/>
  <c r="BC5" i="5"/>
  <c r="CB35" i="5"/>
  <c r="CB107" i="5"/>
  <c r="CB92" i="5"/>
  <c r="CB43" i="5"/>
  <c r="CB44" i="5"/>
  <c r="BX4" i="5"/>
  <c r="CB69" i="5"/>
  <c r="CB76" i="5"/>
  <c r="BO23" i="5"/>
  <c r="BO43" i="5"/>
  <c r="BC88" i="5"/>
  <c r="BC45" i="5"/>
  <c r="BB13" i="5"/>
  <c r="BZ13" i="5" s="1"/>
  <c r="BO27" i="5"/>
  <c r="BO13" i="5"/>
  <c r="CB13" i="5"/>
  <c r="CB67" i="5"/>
  <c r="BN109" i="5"/>
  <c r="BO56" i="5"/>
  <c r="CB20" i="5"/>
  <c r="CB64" i="5"/>
  <c r="BL99" i="5"/>
  <c r="BZ99" i="5"/>
  <c r="BO69" i="5"/>
  <c r="BX53" i="5"/>
  <c r="BX11" i="5"/>
  <c r="CB3" i="5"/>
  <c r="BX87" i="5"/>
  <c r="BL4" i="5"/>
  <c r="CB68" i="5"/>
  <c r="CB104" i="5"/>
  <c r="BB112" i="5"/>
  <c r="BZ112" i="5" s="1"/>
  <c r="BO111" i="5"/>
  <c r="BN45" i="5"/>
  <c r="BX44" i="5"/>
  <c r="CB12" i="5"/>
  <c r="CB11" i="5"/>
  <c r="BT119" i="5"/>
  <c r="BT120" i="5" s="1"/>
  <c r="BS119" i="5"/>
  <c r="BS120" i="5" s="1"/>
  <c r="CE119" i="5"/>
  <c r="CE120" i="5" s="1"/>
  <c r="BN93" i="5"/>
  <c r="BX112" i="5"/>
  <c r="BO101" i="5"/>
  <c r="H16" i="10"/>
  <c r="CB36" i="5"/>
  <c r="BV119" i="5"/>
  <c r="BV120" i="5" s="1"/>
  <c r="AY119" i="5"/>
  <c r="AY120" i="5" s="1"/>
  <c r="BE119" i="5"/>
  <c r="BE120" i="5" s="1"/>
  <c r="BK119" i="5"/>
  <c r="BK120" i="5" s="1"/>
  <c r="CB103" i="5"/>
  <c r="BY119" i="5"/>
  <c r="BY120" i="5" s="1"/>
  <c r="BH119" i="5"/>
  <c r="BH120" i="5" s="1"/>
  <c r="CD119" i="5"/>
  <c r="CD120" i="5" s="1"/>
  <c r="AZ119" i="5"/>
  <c r="AZ120" i="5" s="1"/>
  <c r="CI119" i="5"/>
  <c r="CI120" i="5" s="1"/>
  <c r="F10" i="13"/>
  <c r="D15" i="10"/>
  <c r="BW119" i="5"/>
  <c r="BW120" i="5" s="1"/>
  <c r="BR119" i="5"/>
  <c r="BR120" i="5" s="1"/>
  <c r="BP80" i="5"/>
  <c r="BP119" i="5" s="1"/>
  <c r="BP120" i="5" s="1"/>
  <c r="BA119" i="5"/>
  <c r="BA120" i="5" s="1"/>
  <c r="AV119" i="5"/>
  <c r="AV120" i="5" s="1"/>
  <c r="BD119" i="5"/>
  <c r="BD120" i="5" s="1"/>
  <c r="BG119" i="5"/>
  <c r="BG120" i="5" s="1"/>
  <c r="BQ119" i="5"/>
  <c r="BQ120" i="5" s="1"/>
  <c r="F12" i="13"/>
  <c r="F40" i="13" s="1"/>
  <c r="D17" i="10"/>
  <c r="BC64" i="5"/>
  <c r="CA119" i="5"/>
  <c r="CA120" i="5" s="1"/>
  <c r="BB80" i="5"/>
  <c r="AU119" i="5"/>
  <c r="AU120" i="5" s="1"/>
  <c r="BI119" i="5"/>
  <c r="BI120" i="5" s="1"/>
  <c r="BN101" i="5"/>
  <c r="BU119" i="5"/>
  <c r="BU120" i="5" s="1"/>
  <c r="CB88" i="5"/>
  <c r="CK119" i="5"/>
  <c r="CK120" i="5" s="1"/>
  <c r="BM119" i="5"/>
  <c r="BM120" i="5" s="1"/>
  <c r="BF119" i="5"/>
  <c r="BF120" i="5" s="1"/>
  <c r="BJ119" i="5"/>
  <c r="BJ120" i="5" s="1"/>
  <c r="AA11" i="13"/>
  <c r="G39" i="13"/>
  <c r="AB11" i="13"/>
  <c r="AB45" i="13" s="1"/>
  <c r="J11" i="13"/>
  <c r="CF119" i="5"/>
  <c r="CF120" i="5" s="1"/>
  <c r="CC119" i="5"/>
  <c r="CC120" i="5" s="1"/>
  <c r="BL87" i="5"/>
  <c r="BX92" i="5"/>
  <c r="F75" i="13"/>
  <c r="F80" i="13" s="1"/>
  <c r="CB51" i="5"/>
  <c r="BB8" i="5"/>
  <c r="BZ8" i="5" s="1"/>
  <c r="BC63" i="5"/>
  <c r="BX12" i="5"/>
  <c r="CB16" i="5"/>
  <c r="BC47" i="5"/>
  <c r="CB96" i="5"/>
  <c r="BN71" i="5"/>
  <c r="BZ71" i="5" s="1"/>
  <c r="BL12" i="5"/>
  <c r="BX23" i="5"/>
  <c r="BL92" i="5"/>
  <c r="BB92" i="5"/>
  <c r="BZ92" i="5" s="1"/>
  <c r="H5" i="10"/>
  <c r="CB58" i="5"/>
  <c r="BB29" i="5"/>
  <c r="BZ29" i="5" s="1"/>
  <c r="BL23" i="5"/>
  <c r="BL71" i="5"/>
  <c r="BX71" i="5"/>
  <c r="CB71" i="5"/>
  <c r="BO71" i="5"/>
  <c r="BO35" i="5"/>
  <c r="BO104" i="5"/>
  <c r="BL13" i="5"/>
  <c r="CB111" i="5"/>
  <c r="CB29" i="5"/>
  <c r="CB27" i="5"/>
  <c r="CB72" i="5"/>
  <c r="CB80" i="5"/>
  <c r="CB59" i="5"/>
  <c r="BX69" i="5"/>
  <c r="BO31" i="5"/>
  <c r="BL69" i="5"/>
  <c r="CB31" i="5"/>
  <c r="CB56" i="5"/>
  <c r="BO59" i="5"/>
  <c r="BN60" i="5"/>
  <c r="CB108" i="5"/>
  <c r="BN72" i="5"/>
  <c r="BC91" i="5"/>
  <c r="BX13" i="5"/>
  <c r="BZ4" i="5"/>
  <c r="BZ75" i="5"/>
  <c r="CB77" i="5"/>
  <c r="BC29" i="5"/>
  <c r="BB61" i="5"/>
  <c r="BZ61" i="5" s="1"/>
  <c r="BX52" i="5"/>
  <c r="BC72" i="5"/>
  <c r="BL20" i="5"/>
  <c r="BB84" i="5"/>
  <c r="BZ51" i="5"/>
  <c r="BX88" i="5"/>
  <c r="BX61" i="5"/>
  <c r="BX20" i="5"/>
  <c r="BB16" i="5"/>
  <c r="BZ16" i="5" s="1"/>
  <c r="BL75" i="5"/>
  <c r="BX64" i="5"/>
  <c r="BX29" i="5"/>
  <c r="BX16" i="5"/>
  <c r="CB8" i="5"/>
  <c r="BL53" i="5"/>
  <c r="BL88" i="5"/>
  <c r="CB85" i="5"/>
  <c r="BO61" i="5"/>
  <c r="CB37" i="5"/>
  <c r="BX51" i="5"/>
  <c r="BO37" i="5"/>
  <c r="BO51" i="5"/>
  <c r="BB40" i="5"/>
  <c r="BL111" i="5"/>
  <c r="BX77" i="5"/>
  <c r="BL51" i="5"/>
  <c r="BL61" i="5"/>
  <c r="BO15" i="5"/>
  <c r="BL15" i="5"/>
  <c r="BX15" i="5"/>
  <c r="BL63" i="5"/>
  <c r="CB90" i="5"/>
  <c r="BB56" i="5"/>
  <c r="CB50" i="5"/>
  <c r="BO53" i="5"/>
  <c r="BX111" i="5"/>
  <c r="BB96" i="5"/>
  <c r="BC75" i="5"/>
  <c r="CB61" i="5"/>
  <c r="BX37" i="5"/>
  <c r="CB39" i="5"/>
  <c r="BX63" i="5"/>
  <c r="BL64" i="5"/>
  <c r="BL109" i="5"/>
  <c r="BL121" i="5" s="1"/>
  <c r="BL122" i="5" s="1"/>
  <c r="BO20" i="5"/>
  <c r="F10" i="12"/>
  <c r="F38" i="12" s="1"/>
  <c r="BC77" i="5"/>
  <c r="BX75" i="5"/>
  <c r="BL112" i="5"/>
  <c r="BL28" i="5"/>
  <c r="BL52" i="5"/>
  <c r="CB112" i="5"/>
  <c r="BC62" i="5"/>
  <c r="CB15" i="5"/>
  <c r="BC48" i="5"/>
  <c r="BO44" i="5"/>
  <c r="BL29" i="5"/>
  <c r="CB49" i="5"/>
  <c r="CB52" i="5"/>
  <c r="BL77" i="5"/>
  <c r="BL16" i="5"/>
  <c r="BO76" i="5"/>
  <c r="BO112" i="5"/>
  <c r="BC112" i="5"/>
  <c r="BO8" i="5"/>
  <c r="BB88" i="5"/>
  <c r="BZ88" i="5" s="1"/>
  <c r="BX8" i="5"/>
  <c r="BB44" i="5"/>
  <c r="BN44" i="5"/>
  <c r="CB63" i="5"/>
  <c r="BB37" i="5"/>
  <c r="BZ37" i="5" s="1"/>
  <c r="BC40" i="5"/>
  <c r="BO87" i="5"/>
  <c r="CB26" i="5"/>
  <c r="BC108" i="5"/>
  <c r="BO108" i="5"/>
  <c r="AY117" i="5"/>
  <c r="AY118" i="5" s="1"/>
  <c r="CE117" i="5"/>
  <c r="CE118" i="5" s="1"/>
  <c r="BU117" i="5"/>
  <c r="BU118" i="5" s="1"/>
  <c r="BY117" i="5"/>
  <c r="BY118" i="5" s="1"/>
  <c r="CB93" i="5"/>
  <c r="BM117" i="5"/>
  <c r="BM118" i="5" s="1"/>
  <c r="BT117" i="5"/>
  <c r="BT118" i="5" s="1"/>
  <c r="BI117" i="5"/>
  <c r="BI118" i="5" s="1"/>
  <c r="BB48" i="5"/>
  <c r="BZ48" i="5" s="1"/>
  <c r="AU117" i="5"/>
  <c r="AU118" i="5" s="1"/>
  <c r="CC117" i="5"/>
  <c r="CC118" i="5" s="1"/>
  <c r="AV117" i="5"/>
  <c r="AV118" i="5" s="1"/>
  <c r="BO84" i="5"/>
  <c r="BF117" i="5"/>
  <c r="BF118" i="5" s="1"/>
  <c r="CI117" i="5"/>
  <c r="CI118" i="5" s="1"/>
  <c r="CD117" i="5"/>
  <c r="CD118" i="5" s="1"/>
  <c r="BY115" i="5"/>
  <c r="BY116" i="5" s="1"/>
  <c r="CK117" i="5"/>
  <c r="CK118" i="5" s="1"/>
  <c r="BR117" i="5"/>
  <c r="BR118" i="5" s="1"/>
  <c r="CA117" i="5"/>
  <c r="CA118" i="5" s="1"/>
  <c r="BG117" i="5"/>
  <c r="BG118" i="5" s="1"/>
  <c r="BJ115" i="5"/>
  <c r="BJ116" i="5" s="1"/>
  <c r="BV117" i="5"/>
  <c r="BV118" i="5" s="1"/>
  <c r="BW117" i="5"/>
  <c r="BW118" i="5" s="1"/>
  <c r="BJ117" i="5"/>
  <c r="BJ118" i="5" s="1"/>
  <c r="BS117" i="5"/>
  <c r="BS118" i="5" s="1"/>
  <c r="BO70" i="5"/>
  <c r="BH117" i="5"/>
  <c r="BH118" i="5" s="1"/>
  <c r="BQ117" i="5"/>
  <c r="BQ118" i="5" s="1"/>
  <c r="BK117" i="5"/>
  <c r="BK118" i="5" s="1"/>
  <c r="BW115" i="5"/>
  <c r="BW116" i="5" s="1"/>
  <c r="BE117" i="5"/>
  <c r="BE118" i="5" s="1"/>
  <c r="BL11" i="5"/>
  <c r="BP48" i="5"/>
  <c r="BX48" i="5" s="1"/>
  <c r="BA117" i="5"/>
  <c r="BA118" i="5" s="1"/>
  <c r="CF117" i="5"/>
  <c r="CF118" i="5" s="1"/>
  <c r="AZ117" i="5"/>
  <c r="AZ118" i="5" s="1"/>
  <c r="BL37" i="5"/>
  <c r="BL8" i="5"/>
  <c r="BD117" i="5"/>
  <c r="BD118" i="5" s="1"/>
  <c r="BO96" i="5"/>
  <c r="BQ115" i="5"/>
  <c r="BQ116" i="5" s="1"/>
  <c r="BX21" i="5"/>
  <c r="CA115" i="5"/>
  <c r="CA116" i="5" s="1"/>
  <c r="L12" i="12" s="1"/>
  <c r="CB81" i="5"/>
  <c r="BB30" i="5"/>
  <c r="BB33" i="5"/>
  <c r="BZ33" i="5" s="1"/>
  <c r="BL32" i="5"/>
  <c r="BE115" i="5"/>
  <c r="BE116" i="5" s="1"/>
  <c r="BO38" i="5"/>
  <c r="CB65" i="5"/>
  <c r="BN80" i="5"/>
  <c r="CB70" i="5"/>
  <c r="BN81" i="5"/>
  <c r="BO14" i="5"/>
  <c r="BO4" i="5"/>
  <c r="BC4" i="5"/>
  <c r="BG115" i="5"/>
  <c r="BG116" i="5" s="1"/>
  <c r="CB6" i="5"/>
  <c r="BB110" i="5"/>
  <c r="BL48" i="5"/>
  <c r="BO24" i="5"/>
  <c r="BM115" i="5"/>
  <c r="BM116" i="5" s="1"/>
  <c r="I12" i="12" s="1"/>
  <c r="I40" i="12" s="1"/>
  <c r="BL25" i="5"/>
  <c r="CB30" i="5"/>
  <c r="BB25" i="5"/>
  <c r="BZ25" i="5" s="1"/>
  <c r="CB18" i="5"/>
  <c r="BL95" i="5"/>
  <c r="BO85" i="5"/>
  <c r="BL21" i="5"/>
  <c r="BX95" i="5"/>
  <c r="CB95" i="5"/>
  <c r="BC12" i="5"/>
  <c r="BO12" i="5"/>
  <c r="BC52" i="5"/>
  <c r="BO52" i="5"/>
  <c r="BN63" i="5"/>
  <c r="BB63" i="5"/>
  <c r="BB79" i="5"/>
  <c r="BN79" i="5"/>
  <c r="BB85" i="5"/>
  <c r="BF115" i="5"/>
  <c r="BF116" i="5" s="1"/>
  <c r="BS115" i="5"/>
  <c r="BS116" i="5" s="1"/>
  <c r="CC115" i="5"/>
  <c r="CC116" i="5" s="1"/>
  <c r="CI115" i="5"/>
  <c r="CI116" i="5" s="1"/>
  <c r="BL41" i="5"/>
  <c r="BB9" i="5"/>
  <c r="BZ9" i="5" s="1"/>
  <c r="BN49" i="5"/>
  <c r="BB57" i="5"/>
  <c r="BO57" i="5"/>
  <c r="BX32" i="5"/>
  <c r="BC36" i="5"/>
  <c r="BB35" i="5"/>
  <c r="BN35" i="5"/>
  <c r="BN87" i="5"/>
  <c r="BB87" i="5"/>
  <c r="BC93" i="5"/>
  <c r="BO93" i="5"/>
  <c r="BB7" i="5"/>
  <c r="BN7" i="5"/>
  <c r="BB103" i="5"/>
  <c r="BN103" i="5"/>
  <c r="BN55" i="5"/>
  <c r="BB55" i="5"/>
  <c r="AV115" i="5"/>
  <c r="AV116" i="5" s="1"/>
  <c r="BB36" i="5"/>
  <c r="BN36" i="5"/>
  <c r="BV115" i="5"/>
  <c r="BV116" i="5" s="1"/>
  <c r="CF115" i="5"/>
  <c r="CF116" i="5" s="1"/>
  <c r="BL22" i="5"/>
  <c r="CB57" i="5"/>
  <c r="BN46" i="5"/>
  <c r="BZ46" i="5" s="1"/>
  <c r="CB105" i="5"/>
  <c r="BL73" i="5"/>
  <c r="BB31" i="5"/>
  <c r="BN31" i="5"/>
  <c r="BB11" i="5"/>
  <c r="BN11" i="5"/>
  <c r="BN15" i="5"/>
  <c r="BB15" i="5"/>
  <c r="BN111" i="5"/>
  <c r="BB111" i="5"/>
  <c r="BN17" i="5"/>
  <c r="BZ17" i="5" s="1"/>
  <c r="BB102" i="5"/>
  <c r="AZ115" i="5"/>
  <c r="AZ116" i="5" s="1"/>
  <c r="G12" i="12" s="1"/>
  <c r="CD115" i="5"/>
  <c r="CD116" i="5" s="1"/>
  <c r="CK115" i="5"/>
  <c r="CK116" i="5" s="1"/>
  <c r="M12" i="12" s="1"/>
  <c r="M40" i="12" s="1"/>
  <c r="BB41" i="5"/>
  <c r="BZ41" i="5" s="1"/>
  <c r="CB94" i="5"/>
  <c r="BO17" i="5"/>
  <c r="BN14" i="5"/>
  <c r="BZ14" i="5" s="1"/>
  <c r="BX34" i="5"/>
  <c r="BN43" i="5"/>
  <c r="BB43" i="5"/>
  <c r="BB23" i="5"/>
  <c r="BN23" i="5"/>
  <c r="BB28" i="5"/>
  <c r="BN28" i="5"/>
  <c r="BB21" i="5"/>
  <c r="BZ21" i="5" s="1"/>
  <c r="BC68" i="5"/>
  <c r="BO68" i="5"/>
  <c r="CB24" i="5"/>
  <c r="BC55" i="5"/>
  <c r="BO55" i="5"/>
  <c r="BB62" i="5"/>
  <c r="BB95" i="5"/>
  <c r="BN95" i="5"/>
  <c r="BB70" i="5"/>
  <c r="CB38" i="5"/>
  <c r="BA115" i="5"/>
  <c r="BA116" i="5" s="1"/>
  <c r="K10" i="12" s="1"/>
  <c r="BO6" i="5"/>
  <c r="CE115" i="5"/>
  <c r="CE116" i="5" s="1"/>
  <c r="CB21" i="5"/>
  <c r="BC28" i="5"/>
  <c r="BO28" i="5"/>
  <c r="BN47" i="5"/>
  <c r="BB47" i="5"/>
  <c r="BN39" i="5"/>
  <c r="BB39" i="5"/>
  <c r="BN32" i="5"/>
  <c r="BB32" i="5"/>
  <c r="BC100" i="5"/>
  <c r="BO100" i="5"/>
  <c r="BH115" i="5"/>
  <c r="BH116" i="5" s="1"/>
  <c r="CB102" i="5"/>
  <c r="BI115" i="5"/>
  <c r="BI116" i="5" s="1"/>
  <c r="AY115" i="5"/>
  <c r="AY116" i="5" s="1"/>
  <c r="G10" i="12" s="1"/>
  <c r="BK115" i="5"/>
  <c r="BK116" i="5" s="1"/>
  <c r="BT115" i="5"/>
  <c r="BT116" i="5" s="1"/>
  <c r="BN6" i="5"/>
  <c r="BR115" i="5"/>
  <c r="BR116" i="5" s="1"/>
  <c r="CB97" i="5"/>
  <c r="BC49" i="5"/>
  <c r="BB65" i="5"/>
  <c r="BN105" i="5"/>
  <c r="BN24" i="5"/>
  <c r="BN12" i="5"/>
  <c r="BB12" i="5"/>
  <c r="BC60" i="5"/>
  <c r="BO60" i="5"/>
  <c r="CB28" i="5"/>
  <c r="BX28" i="5"/>
  <c r="BB27" i="5"/>
  <c r="BN104" i="5"/>
  <c r="BB104" i="5"/>
  <c r="BO32" i="5"/>
  <c r="CB41" i="5"/>
  <c r="BX41" i="5"/>
  <c r="CB46" i="5"/>
  <c r="BX46" i="5"/>
  <c r="CB73" i="5"/>
  <c r="BX73" i="5"/>
  <c r="CB22" i="5"/>
  <c r="BX22" i="5"/>
  <c r="CB78" i="5"/>
  <c r="BX78" i="5"/>
  <c r="CB54" i="5"/>
  <c r="BX54" i="5"/>
  <c r="CB25" i="5"/>
  <c r="BX25" i="5"/>
  <c r="CB17" i="5"/>
  <c r="BX17" i="5"/>
  <c r="CB9" i="5"/>
  <c r="BX9" i="5"/>
  <c r="CB14" i="5"/>
  <c r="BX14" i="5"/>
  <c r="F12" i="12"/>
  <c r="F40" i="12" s="1"/>
  <c r="D6" i="10"/>
  <c r="D7" i="10" s="1"/>
  <c r="D10" i="10" s="1"/>
  <c r="BC102" i="5"/>
  <c r="BN38" i="5"/>
  <c r="BO81" i="5"/>
  <c r="BC97" i="5"/>
  <c r="BC86" i="5"/>
  <c r="BN54" i="5"/>
  <c r="BZ54" i="5" s="1"/>
  <c r="BO22" i="5"/>
  <c r="BN89" i="5"/>
  <c r="BZ89" i="5" s="1"/>
  <c r="BL110" i="5"/>
  <c r="BC33" i="5"/>
  <c r="BB73" i="5"/>
  <c r="BZ73" i="5" s="1"/>
  <c r="BD115" i="5"/>
  <c r="BD116" i="5" s="1"/>
  <c r="BL2" i="5"/>
  <c r="BC41" i="5"/>
  <c r="BB94" i="5"/>
  <c r="BL54" i="5"/>
  <c r="CB89" i="5"/>
  <c r="BX89" i="5"/>
  <c r="BU115" i="5"/>
  <c r="BU116" i="5" s="1"/>
  <c r="BC54" i="5"/>
  <c r="J11" i="12"/>
  <c r="AB11" i="12"/>
  <c r="AB45" i="12" s="1"/>
  <c r="AA11" i="12"/>
  <c r="G39" i="12"/>
  <c r="BB78" i="5"/>
  <c r="BZ78" i="5" s="1"/>
  <c r="BC46" i="5"/>
  <c r="BL14" i="5"/>
  <c r="BC105" i="5"/>
  <c r="BC6" i="5"/>
  <c r="BO9" i="5"/>
  <c r="AU115" i="5"/>
  <c r="AU116" i="5" s="1"/>
  <c r="BO94" i="5"/>
  <c r="CB62" i="5"/>
  <c r="BO30" i="5"/>
  <c r="BB97" i="5"/>
  <c r="BN86" i="5"/>
  <c r="BN22" i="5"/>
  <c r="BZ22" i="5" s="1"/>
  <c r="BO89" i="5"/>
  <c r="BO110" i="5"/>
  <c r="BL9" i="5"/>
  <c r="BC25" i="5"/>
  <c r="BO78" i="5"/>
  <c r="BL46" i="5"/>
  <c r="BZ2" i="5"/>
  <c r="CB2" i="5"/>
  <c r="BX2" i="5"/>
  <c r="BP115" i="5"/>
  <c r="BP116" i="5" s="1"/>
  <c r="BL78" i="5"/>
  <c r="BL17" i="5"/>
  <c r="CB86" i="5"/>
  <c r="BL89" i="5"/>
  <c r="BC65" i="5"/>
  <c r="CB33" i="5"/>
  <c r="BX33" i="5"/>
  <c r="BO73" i="5"/>
  <c r="BL33" i="5"/>
  <c r="F75" i="12"/>
  <c r="F80" i="12" s="1"/>
  <c r="D14" i="7"/>
  <c r="AA39" i="17" l="1"/>
  <c r="AY133" i="5"/>
  <c r="K8" i="11"/>
  <c r="AY139" i="5"/>
  <c r="K15" i="11" s="1"/>
  <c r="K14" i="11"/>
  <c r="G19" i="11"/>
  <c r="AU155" i="5"/>
  <c r="G31" i="11" s="1"/>
  <c r="AV133" i="5"/>
  <c r="H8" i="11"/>
  <c r="AV141" i="5"/>
  <c r="H17" i="11" s="1"/>
  <c r="H16" i="11"/>
  <c r="F19" i="11"/>
  <c r="AT155" i="5"/>
  <c r="F31" i="11" s="1"/>
  <c r="E9" i="11"/>
  <c r="AS143" i="5"/>
  <c r="AY141" i="5"/>
  <c r="K17" i="11" s="1"/>
  <c r="K16" i="11"/>
  <c r="AV139" i="5"/>
  <c r="H15" i="11" s="1"/>
  <c r="H14" i="11"/>
  <c r="BC123" i="5"/>
  <c r="BC124" i="5" s="1"/>
  <c r="F52" i="10" s="1"/>
  <c r="CB109" i="5"/>
  <c r="CB121" i="5" s="1"/>
  <c r="CB122" i="5" s="1"/>
  <c r="G10" i="17"/>
  <c r="AA10" i="17" s="1"/>
  <c r="BX109" i="5"/>
  <c r="BX121" i="5" s="1"/>
  <c r="BX122" i="5" s="1"/>
  <c r="J52" i="10"/>
  <c r="AZ134" i="5"/>
  <c r="L10" i="11" s="1"/>
  <c r="AV137" i="5"/>
  <c r="H13" i="11" s="1"/>
  <c r="AZ138" i="5"/>
  <c r="AZ140" i="5"/>
  <c r="AW140" i="5"/>
  <c r="AX138" i="5"/>
  <c r="AX136" i="5"/>
  <c r="J12" i="11" s="1"/>
  <c r="AX140" i="5"/>
  <c r="AX132" i="5"/>
  <c r="AX134" i="5"/>
  <c r="J10" i="11" s="1"/>
  <c r="AV135" i="5"/>
  <c r="H11" i="11" s="1"/>
  <c r="AZ132" i="5"/>
  <c r="AY135" i="5"/>
  <c r="K11" i="11" s="1"/>
  <c r="AY137" i="5"/>
  <c r="K13" i="11" s="1"/>
  <c r="AZ136" i="5"/>
  <c r="L12" i="11" s="1"/>
  <c r="AW138" i="5"/>
  <c r="AW132" i="5"/>
  <c r="AW134" i="5"/>
  <c r="I10" i="11" s="1"/>
  <c r="AW136" i="5"/>
  <c r="I12" i="11" s="1"/>
  <c r="G52" i="10"/>
  <c r="CB110" i="5"/>
  <c r="CB123" i="5" s="1"/>
  <c r="CB124" i="5" s="1"/>
  <c r="BX110" i="5"/>
  <c r="BX123" i="5" s="1"/>
  <c r="BX124" i="5" s="1"/>
  <c r="BN123" i="5"/>
  <c r="BN124" i="5" s="1"/>
  <c r="BO123" i="5"/>
  <c r="BO124" i="5" s="1"/>
  <c r="BL123" i="5"/>
  <c r="BL124" i="5" s="1"/>
  <c r="G50" i="10" s="1"/>
  <c r="G38" i="17"/>
  <c r="F38" i="17"/>
  <c r="F41" i="17" s="1"/>
  <c r="F13" i="17"/>
  <c r="F16" i="17" s="1"/>
  <c r="G12" i="17"/>
  <c r="E52" i="10"/>
  <c r="E53" i="10" s="1"/>
  <c r="M12" i="17"/>
  <c r="M40" i="17" s="1"/>
  <c r="K52" i="10"/>
  <c r="K10" i="17"/>
  <c r="I50" i="10"/>
  <c r="L40" i="17"/>
  <c r="D53" i="10"/>
  <c r="D56" i="10" s="1"/>
  <c r="AC39" i="17"/>
  <c r="AA45" i="17"/>
  <c r="AC45" i="17" s="1"/>
  <c r="BZ110" i="5"/>
  <c r="BB123" i="5"/>
  <c r="BB124" i="5" s="1"/>
  <c r="D29" i="10"/>
  <c r="D32" i="10" s="1"/>
  <c r="G37" i="10"/>
  <c r="G40" i="10" s="1"/>
  <c r="I10" i="15"/>
  <c r="D40" i="10"/>
  <c r="D43" i="10" s="1"/>
  <c r="J39" i="14"/>
  <c r="AA39" i="14"/>
  <c r="E40" i="10"/>
  <c r="G10" i="14"/>
  <c r="E26" i="10"/>
  <c r="F38" i="14"/>
  <c r="F41" i="14" s="1"/>
  <c r="F13" i="14"/>
  <c r="F16" i="14" s="1"/>
  <c r="AC39" i="15"/>
  <c r="AA45" i="15"/>
  <c r="AC45" i="15" s="1"/>
  <c r="AA10" i="15"/>
  <c r="G38" i="15"/>
  <c r="G13" i="15"/>
  <c r="G40" i="15"/>
  <c r="E28" i="10"/>
  <c r="G12" i="14"/>
  <c r="G40" i="14" s="1"/>
  <c r="K10" i="14"/>
  <c r="I26" i="10"/>
  <c r="F37" i="10"/>
  <c r="H10" i="15"/>
  <c r="F13" i="15"/>
  <c r="F16" i="15" s="1"/>
  <c r="F38" i="15"/>
  <c r="F41" i="15" s="1"/>
  <c r="K10" i="15"/>
  <c r="I37" i="10"/>
  <c r="L39" i="10"/>
  <c r="F39" i="10"/>
  <c r="H12" i="15"/>
  <c r="H40" i="15" s="1"/>
  <c r="N12" i="15"/>
  <c r="L40" i="15"/>
  <c r="N40" i="15" s="1"/>
  <c r="BZ109" i="5"/>
  <c r="BZ121" i="5" s="1"/>
  <c r="BZ122" i="5" s="1"/>
  <c r="BN121" i="5"/>
  <c r="BN122" i="5" s="1"/>
  <c r="G28" i="10"/>
  <c r="I12" i="14"/>
  <c r="I40" i="14" s="1"/>
  <c r="J28" i="10"/>
  <c r="L12" i="14"/>
  <c r="K28" i="10"/>
  <c r="M12" i="14"/>
  <c r="M40" i="14" s="1"/>
  <c r="BN119" i="5"/>
  <c r="BN120" i="5" s="1"/>
  <c r="BX119" i="5"/>
  <c r="BX120" i="5" s="1"/>
  <c r="BC119" i="5"/>
  <c r="BC120" i="5" s="1"/>
  <c r="BO119" i="5"/>
  <c r="BO120" i="5" s="1"/>
  <c r="BL119" i="5"/>
  <c r="BL120" i="5" s="1"/>
  <c r="E17" i="10"/>
  <c r="G12" i="13"/>
  <c r="AA39" i="13"/>
  <c r="J39" i="13"/>
  <c r="I15" i="10"/>
  <c r="K10" i="13"/>
  <c r="M12" i="13"/>
  <c r="M40" i="13" s="1"/>
  <c r="K17" i="10"/>
  <c r="G10" i="13"/>
  <c r="E15" i="10"/>
  <c r="CB119" i="5"/>
  <c r="CB120" i="5" s="1"/>
  <c r="BB119" i="5"/>
  <c r="BB120" i="5" s="1"/>
  <c r="D18" i="10"/>
  <c r="D21" i="10" s="1"/>
  <c r="L12" i="13"/>
  <c r="J17" i="10"/>
  <c r="I12" i="13"/>
  <c r="I40" i="13" s="1"/>
  <c r="G17" i="10"/>
  <c r="F13" i="13"/>
  <c r="F16" i="13" s="1"/>
  <c r="F38" i="13"/>
  <c r="F41" i="13" s="1"/>
  <c r="G6" i="10"/>
  <c r="BZ44" i="5"/>
  <c r="J6" i="10"/>
  <c r="I4" i="10"/>
  <c r="BZ23" i="5"/>
  <c r="F41" i="12"/>
  <c r="F45" i="12" s="1"/>
  <c r="K6" i="10"/>
  <c r="BO117" i="5"/>
  <c r="BO118" i="5" s="1"/>
  <c r="BC117" i="5"/>
  <c r="BC118" i="5" s="1"/>
  <c r="BZ111" i="5"/>
  <c r="BP117" i="5"/>
  <c r="BP118" i="5" s="1"/>
  <c r="CB48" i="5"/>
  <c r="CB117" i="5" s="1"/>
  <c r="CB118" i="5" s="1"/>
  <c r="BZ32" i="5"/>
  <c r="BB115" i="5"/>
  <c r="BB116" i="5" s="1"/>
  <c r="F4" i="10" s="1"/>
  <c r="F13" i="12"/>
  <c r="F16" i="12" s="1"/>
  <c r="BX117" i="5"/>
  <c r="BX118" i="5" s="1"/>
  <c r="BN117" i="5"/>
  <c r="BN118" i="5" s="1"/>
  <c r="BL117" i="5"/>
  <c r="BL118" i="5" s="1"/>
  <c r="BB117" i="5"/>
  <c r="BB118" i="5" s="1"/>
  <c r="E6" i="10"/>
  <c r="BX115" i="5"/>
  <c r="BX116" i="5" s="1"/>
  <c r="BO115" i="5"/>
  <c r="BO116" i="5" s="1"/>
  <c r="BZ15" i="5"/>
  <c r="BZ87" i="5"/>
  <c r="CB115" i="5"/>
  <c r="CB116" i="5" s="1"/>
  <c r="BZ11" i="5"/>
  <c r="BC115" i="5"/>
  <c r="BC116" i="5" s="1"/>
  <c r="F6" i="10" s="1"/>
  <c r="BZ95" i="5"/>
  <c r="E4" i="10"/>
  <c r="BZ63" i="5"/>
  <c r="BZ117" i="5" s="1"/>
  <c r="BZ118" i="5" s="1"/>
  <c r="BZ12" i="5"/>
  <c r="BZ28" i="5"/>
  <c r="BL115" i="5"/>
  <c r="BL116" i="5" s="1"/>
  <c r="BN115" i="5"/>
  <c r="BN116" i="5" s="1"/>
  <c r="N12" i="12"/>
  <c r="L40" i="12"/>
  <c r="N40" i="12" s="1"/>
  <c r="G13" i="12"/>
  <c r="AA10" i="12"/>
  <c r="G38" i="12"/>
  <c r="G40" i="12"/>
  <c r="AA39" i="12"/>
  <c r="J39" i="12"/>
  <c r="AB10" i="9"/>
  <c r="AW139" i="5" l="1"/>
  <c r="I15" i="11" s="1"/>
  <c r="I14" i="11"/>
  <c r="H9" i="11"/>
  <c r="AV143" i="5"/>
  <c r="E19" i="11"/>
  <c r="AS155" i="5"/>
  <c r="E31" i="11" s="1"/>
  <c r="AW141" i="5"/>
  <c r="I17" i="11" s="1"/>
  <c r="I16" i="11"/>
  <c r="AZ133" i="5"/>
  <c r="L8" i="11"/>
  <c r="AZ141" i="5"/>
  <c r="L17" i="11" s="1"/>
  <c r="L16" i="11"/>
  <c r="AZ139" i="5"/>
  <c r="L15" i="11" s="1"/>
  <c r="L14" i="11"/>
  <c r="AW133" i="5"/>
  <c r="I8" i="11"/>
  <c r="AY143" i="5"/>
  <c r="K9" i="11"/>
  <c r="AX139" i="5"/>
  <c r="J15" i="11" s="1"/>
  <c r="J14" i="11"/>
  <c r="AX133" i="5"/>
  <c r="J8" i="11"/>
  <c r="AX141" i="5"/>
  <c r="J17" i="11" s="1"/>
  <c r="J16" i="11"/>
  <c r="H12" i="17"/>
  <c r="H40" i="17" s="1"/>
  <c r="L52" i="10"/>
  <c r="F44" i="12"/>
  <c r="AW135" i="5"/>
  <c r="I11" i="11" s="1"/>
  <c r="BA134" i="5"/>
  <c r="M10" i="11" s="1"/>
  <c r="AX135" i="5"/>
  <c r="J11" i="11" s="1"/>
  <c r="AW137" i="5"/>
  <c r="I13" i="11" s="1"/>
  <c r="BA140" i="5"/>
  <c r="BA136" i="5"/>
  <c r="M12" i="11" s="1"/>
  <c r="BA138" i="5"/>
  <c r="AZ137" i="5"/>
  <c r="L13" i="11" s="1"/>
  <c r="AZ135" i="5"/>
  <c r="L11" i="11" s="1"/>
  <c r="BA132" i="5"/>
  <c r="AX137" i="5"/>
  <c r="J13" i="11" s="1"/>
  <c r="G53" i="10"/>
  <c r="I10" i="17"/>
  <c r="I13" i="17" s="1"/>
  <c r="G40" i="17"/>
  <c r="F50" i="10"/>
  <c r="H50" i="10" s="1"/>
  <c r="H10" i="17"/>
  <c r="F43" i="17"/>
  <c r="F44" i="17"/>
  <c r="F45" i="17"/>
  <c r="AA38" i="17"/>
  <c r="AA44" i="17" s="1"/>
  <c r="G13" i="17"/>
  <c r="N12" i="17"/>
  <c r="N40" i="17"/>
  <c r="H52" i="10"/>
  <c r="BZ123" i="5"/>
  <c r="BZ124" i="5" s="1"/>
  <c r="H37" i="10"/>
  <c r="L28" i="10"/>
  <c r="F40" i="10"/>
  <c r="H40" i="10" s="1"/>
  <c r="F42" i="10" s="1"/>
  <c r="F43" i="10" s="1"/>
  <c r="E29" i="10"/>
  <c r="F43" i="12"/>
  <c r="AA38" i="15"/>
  <c r="H39" i="10"/>
  <c r="AC39" i="14"/>
  <c r="AA45" i="14"/>
  <c r="AC45" i="14" s="1"/>
  <c r="L10" i="15"/>
  <c r="J37" i="10"/>
  <c r="F43" i="15"/>
  <c r="F44" i="15"/>
  <c r="F45" i="15"/>
  <c r="J12" i="15"/>
  <c r="F43" i="14"/>
  <c r="F44" i="14"/>
  <c r="F45" i="14"/>
  <c r="G41" i="15"/>
  <c r="J40" i="15"/>
  <c r="J10" i="15"/>
  <c r="I38" i="15"/>
  <c r="I13" i="15"/>
  <c r="H13" i="15"/>
  <c r="H38" i="15"/>
  <c r="H41" i="15" s="1"/>
  <c r="G38" i="14"/>
  <c r="G13" i="14"/>
  <c r="AA10" i="14"/>
  <c r="I10" i="14"/>
  <c r="G26" i="10"/>
  <c r="G29" i="10" s="1"/>
  <c r="H12" i="14"/>
  <c r="F28" i="10"/>
  <c r="H28" i="10" s="1"/>
  <c r="H10" i="14"/>
  <c r="F26" i="10"/>
  <c r="N12" i="14"/>
  <c r="L40" i="14"/>
  <c r="N40" i="14" s="1"/>
  <c r="L17" i="10"/>
  <c r="BZ119" i="5"/>
  <c r="BZ120" i="5" s="1"/>
  <c r="L6" i="10"/>
  <c r="F15" i="10"/>
  <c r="H10" i="13"/>
  <c r="H12" i="13"/>
  <c r="H40" i="13" s="1"/>
  <c r="F17" i="10"/>
  <c r="H17" i="10" s="1"/>
  <c r="L40" i="13"/>
  <c r="N40" i="13" s="1"/>
  <c r="N12" i="13"/>
  <c r="G15" i="10"/>
  <c r="I10" i="13"/>
  <c r="L10" i="13"/>
  <c r="J15" i="10"/>
  <c r="F43" i="13"/>
  <c r="F44" i="13"/>
  <c r="F45" i="13"/>
  <c r="AC39" i="13"/>
  <c r="AA45" i="13"/>
  <c r="AC45" i="13" s="1"/>
  <c r="E18" i="10"/>
  <c r="G40" i="13"/>
  <c r="G13" i="13"/>
  <c r="AA10" i="13"/>
  <c r="G38" i="13"/>
  <c r="E7" i="10"/>
  <c r="H6" i="10"/>
  <c r="H10" i="12"/>
  <c r="H38" i="12" s="1"/>
  <c r="BZ115" i="5"/>
  <c r="BZ116" i="5" s="1"/>
  <c r="L10" i="12" s="1"/>
  <c r="H12" i="12"/>
  <c r="AA38" i="12"/>
  <c r="G41" i="12"/>
  <c r="G4" i="10"/>
  <c r="G7" i="10" s="1"/>
  <c r="I10" i="12"/>
  <c r="AA45" i="12"/>
  <c r="AC45" i="12" s="1"/>
  <c r="AC39" i="12"/>
  <c r="F7" i="10"/>
  <c r="AA11" i="9"/>
  <c r="AC11" i="9"/>
  <c r="AA10" i="9"/>
  <c r="H19" i="11" l="1"/>
  <c r="AV155" i="5"/>
  <c r="H31" i="11" s="1"/>
  <c r="AW143" i="5"/>
  <c r="I9" i="11"/>
  <c r="AY155" i="5"/>
  <c r="K31" i="11" s="1"/>
  <c r="K19" i="11"/>
  <c r="AZ143" i="5"/>
  <c r="L9" i="11"/>
  <c r="BA141" i="5"/>
  <c r="M17" i="11" s="1"/>
  <c r="M16" i="11"/>
  <c r="BA139" i="5"/>
  <c r="M15" i="11" s="1"/>
  <c r="M14" i="11"/>
  <c r="AX143" i="5"/>
  <c r="J9" i="11"/>
  <c r="BA133" i="5"/>
  <c r="M8" i="11"/>
  <c r="J12" i="17"/>
  <c r="J40" i="17"/>
  <c r="I38" i="17"/>
  <c r="I41" i="17" s="1"/>
  <c r="BA135" i="5"/>
  <c r="M11" i="11" s="1"/>
  <c r="BA137" i="5"/>
  <c r="M13" i="11" s="1"/>
  <c r="F53" i="10"/>
  <c r="H53" i="10" s="1"/>
  <c r="E55" i="10" s="1"/>
  <c r="G55" i="10" s="1"/>
  <c r="G56" i="10" s="1"/>
  <c r="L10" i="17"/>
  <c r="J50" i="10"/>
  <c r="H13" i="17"/>
  <c r="J13" i="17" s="1"/>
  <c r="H38" i="17"/>
  <c r="J10" i="17"/>
  <c r="G41" i="17"/>
  <c r="J10" i="13"/>
  <c r="J13" i="15"/>
  <c r="G15" i="15" s="1"/>
  <c r="G16" i="15" s="1"/>
  <c r="L38" i="15"/>
  <c r="L13" i="15"/>
  <c r="I41" i="15"/>
  <c r="AA38" i="14"/>
  <c r="AA44" i="14" s="1"/>
  <c r="G41" i="14"/>
  <c r="E42" i="10"/>
  <c r="J38" i="15"/>
  <c r="J41" i="15" s="1"/>
  <c r="H51" i="15" s="1"/>
  <c r="J40" i="10"/>
  <c r="AA44" i="15"/>
  <c r="F29" i="10"/>
  <c r="H26" i="10"/>
  <c r="I38" i="14"/>
  <c r="I13" i="14"/>
  <c r="H38" i="14"/>
  <c r="J10" i="14"/>
  <c r="J26" i="10"/>
  <c r="L10" i="14"/>
  <c r="H13" i="14"/>
  <c r="H40" i="14"/>
  <c r="J40" i="14" s="1"/>
  <c r="J12" i="14"/>
  <c r="H13" i="12"/>
  <c r="H15" i="10"/>
  <c r="F18" i="10"/>
  <c r="J40" i="13"/>
  <c r="J12" i="13"/>
  <c r="G41" i="13"/>
  <c r="AA38" i="13"/>
  <c r="I38" i="13"/>
  <c r="I13" i="13"/>
  <c r="G18" i="10"/>
  <c r="J18" i="10"/>
  <c r="H13" i="13"/>
  <c r="H38" i="13"/>
  <c r="H41" i="13" s="1"/>
  <c r="L13" i="13"/>
  <c r="L38" i="13"/>
  <c r="J4" i="10"/>
  <c r="J7" i="10" s="1"/>
  <c r="H7" i="10"/>
  <c r="E9" i="10" s="1"/>
  <c r="G9" i="10" s="1"/>
  <c r="G10" i="10" s="1"/>
  <c r="H40" i="12"/>
  <c r="J40" i="12" s="1"/>
  <c r="J12" i="12"/>
  <c r="I13" i="12"/>
  <c r="I38" i="12"/>
  <c r="J10" i="12"/>
  <c r="AA44" i="12"/>
  <c r="L38" i="12"/>
  <c r="L13" i="12"/>
  <c r="H4" i="10"/>
  <c r="AC10" i="9"/>
  <c r="AZ155" i="5" l="1"/>
  <c r="L31" i="11" s="1"/>
  <c r="L19" i="11"/>
  <c r="AW155" i="5"/>
  <c r="I31" i="11" s="1"/>
  <c r="I19" i="11"/>
  <c r="M9" i="11"/>
  <c r="BA143" i="5"/>
  <c r="J19" i="11"/>
  <c r="AX155" i="5"/>
  <c r="J31" i="11" s="1"/>
  <c r="H15" i="15"/>
  <c r="H16" i="15" s="1"/>
  <c r="F55" i="10"/>
  <c r="F56" i="10" s="1"/>
  <c r="E56" i="10"/>
  <c r="H15" i="17"/>
  <c r="H16" i="17" s="1"/>
  <c r="G15" i="17"/>
  <c r="L13" i="17"/>
  <c r="L38" i="17"/>
  <c r="H41" i="17"/>
  <c r="J38" i="17"/>
  <c r="J41" i="17" s="1"/>
  <c r="G51" i="17" s="1"/>
  <c r="J53" i="10"/>
  <c r="I51" i="15"/>
  <c r="I52" i="15" s="1"/>
  <c r="I56" i="15" s="1"/>
  <c r="I60" i="15" s="1"/>
  <c r="I15" i="15"/>
  <c r="I16" i="15" s="1"/>
  <c r="G51" i="15"/>
  <c r="G43" i="15" s="1"/>
  <c r="H52" i="15"/>
  <c r="H56" i="15" s="1"/>
  <c r="H60" i="15" s="1"/>
  <c r="H43" i="15"/>
  <c r="L41" i="15"/>
  <c r="G42" i="10"/>
  <c r="G43" i="10" s="1"/>
  <c r="E43" i="10"/>
  <c r="H29" i="10"/>
  <c r="E31" i="10" s="1"/>
  <c r="J29" i="10"/>
  <c r="L38" i="14"/>
  <c r="L13" i="14"/>
  <c r="H41" i="14"/>
  <c r="J38" i="14"/>
  <c r="J41" i="14" s="1"/>
  <c r="G51" i="14" s="1"/>
  <c r="I41" i="14"/>
  <c r="J13" i="14"/>
  <c r="G15" i="14" s="1"/>
  <c r="J13" i="12"/>
  <c r="G15" i="12" s="1"/>
  <c r="H18" i="10"/>
  <c r="E20" i="10" s="1"/>
  <c r="F9" i="10"/>
  <c r="F10" i="10" s="1"/>
  <c r="J13" i="13"/>
  <c r="G15" i="13" s="1"/>
  <c r="I41" i="13"/>
  <c r="L41" i="13"/>
  <c r="AA44" i="13"/>
  <c r="J38" i="13"/>
  <c r="J41" i="13" s="1"/>
  <c r="G51" i="13" s="1"/>
  <c r="E10" i="10"/>
  <c r="H41" i="12"/>
  <c r="I41" i="12"/>
  <c r="L41" i="12"/>
  <c r="J38" i="12"/>
  <c r="J41" i="12" s="1"/>
  <c r="E73" i="9"/>
  <c r="E72" i="9"/>
  <c r="BA155" i="5" l="1"/>
  <c r="M31" i="11" s="1"/>
  <c r="M19" i="11"/>
  <c r="H55" i="10"/>
  <c r="H56" i="10" s="1"/>
  <c r="I51" i="17"/>
  <c r="I52" i="17" s="1"/>
  <c r="I56" i="17" s="1"/>
  <c r="I60" i="17" s="1"/>
  <c r="G52" i="17"/>
  <c r="G56" i="17" s="1"/>
  <c r="G60" i="17" s="1"/>
  <c r="G43" i="17"/>
  <c r="L41" i="17"/>
  <c r="G16" i="17"/>
  <c r="I15" i="17"/>
  <c r="I16" i="17" s="1"/>
  <c r="H51" i="17"/>
  <c r="I43" i="15"/>
  <c r="J43" i="15" s="1"/>
  <c r="J51" i="15"/>
  <c r="J52" i="15" s="1"/>
  <c r="J56" i="15" s="1"/>
  <c r="J60" i="15" s="1"/>
  <c r="J67" i="15" s="1"/>
  <c r="G72" i="15" s="1"/>
  <c r="J15" i="15"/>
  <c r="J16" i="15" s="1"/>
  <c r="L16" i="15" s="1"/>
  <c r="H42" i="10"/>
  <c r="H43" i="10" s="1"/>
  <c r="G52" i="15"/>
  <c r="G56" i="15" s="1"/>
  <c r="G60" i="15" s="1"/>
  <c r="G67" i="15" s="1"/>
  <c r="H67" i="15"/>
  <c r="H44" i="15"/>
  <c r="H15" i="14"/>
  <c r="H16" i="14" s="1"/>
  <c r="I67" i="15"/>
  <c r="I44" i="15"/>
  <c r="H51" i="14"/>
  <c r="F31" i="10"/>
  <c r="F32" i="10" s="1"/>
  <c r="H15" i="12"/>
  <c r="H16" i="12" s="1"/>
  <c r="L41" i="14"/>
  <c r="G31" i="10"/>
  <c r="G32" i="10" s="1"/>
  <c r="E32" i="10"/>
  <c r="G43" i="14"/>
  <c r="G52" i="14"/>
  <c r="G56" i="14" s="1"/>
  <c r="G60" i="14" s="1"/>
  <c r="H15" i="13"/>
  <c r="H16" i="13" s="1"/>
  <c r="G16" i="14"/>
  <c r="I15" i="14"/>
  <c r="I16" i="14" s="1"/>
  <c r="I51" i="14"/>
  <c r="F20" i="10"/>
  <c r="F21" i="10" s="1"/>
  <c r="H9" i="10"/>
  <c r="H10" i="10" s="1"/>
  <c r="I51" i="13"/>
  <c r="H51" i="13"/>
  <c r="G43" i="13"/>
  <c r="G52" i="13"/>
  <c r="G56" i="13" s="1"/>
  <c r="G60" i="13" s="1"/>
  <c r="G20" i="10"/>
  <c r="G21" i="10" s="1"/>
  <c r="E21" i="10"/>
  <c r="I15" i="13"/>
  <c r="I16" i="13" s="1"/>
  <c r="G16" i="13"/>
  <c r="I51" i="12"/>
  <c r="H51" i="12"/>
  <c r="G51" i="12"/>
  <c r="G16" i="12"/>
  <c r="I15" i="12"/>
  <c r="I16" i="12" s="1"/>
  <c r="J79" i="9"/>
  <c r="J78" i="9"/>
  <c r="J77" i="9"/>
  <c r="I43" i="17" l="1"/>
  <c r="K43" i="15"/>
  <c r="J15" i="17"/>
  <c r="J16" i="17" s="1"/>
  <c r="L16" i="17" s="1"/>
  <c r="I67" i="17"/>
  <c r="I45" i="17" s="1"/>
  <c r="I44" i="17"/>
  <c r="H43" i="17"/>
  <c r="H52" i="17"/>
  <c r="H56" i="17" s="1"/>
  <c r="H60" i="17" s="1"/>
  <c r="G44" i="17"/>
  <c r="G67" i="17"/>
  <c r="J51" i="17"/>
  <c r="J52" i="17" s="1"/>
  <c r="J56" i="17" s="1"/>
  <c r="J60" i="17" s="1"/>
  <c r="J67" i="17" s="1"/>
  <c r="H68" i="15"/>
  <c r="J68" i="15" s="1"/>
  <c r="G73" i="15"/>
  <c r="I73" i="15" s="1"/>
  <c r="J73" i="15" s="1"/>
  <c r="O72" i="15"/>
  <c r="M72" i="15"/>
  <c r="J43" i="10"/>
  <c r="G44" i="15"/>
  <c r="J44" i="15" s="1"/>
  <c r="K44" i="15" s="1"/>
  <c r="J51" i="14"/>
  <c r="J52" i="14" s="1"/>
  <c r="J56" i="14" s="1"/>
  <c r="J60" i="14" s="1"/>
  <c r="J67" i="14" s="1"/>
  <c r="O72" i="14" s="1"/>
  <c r="H45" i="15"/>
  <c r="G45" i="15"/>
  <c r="I45" i="15"/>
  <c r="I52" i="14"/>
  <c r="I56" i="14" s="1"/>
  <c r="I60" i="14" s="1"/>
  <c r="I43" i="14"/>
  <c r="J15" i="14"/>
  <c r="J16" i="14" s="1"/>
  <c r="H31" i="10"/>
  <c r="H32" i="10" s="1"/>
  <c r="H43" i="14"/>
  <c r="H52" i="14"/>
  <c r="H56" i="14" s="1"/>
  <c r="H60" i="14" s="1"/>
  <c r="G67" i="14"/>
  <c r="G44" i="14"/>
  <c r="H20" i="10"/>
  <c r="H21" i="10" s="1"/>
  <c r="J15" i="13"/>
  <c r="J16" i="13" s="1"/>
  <c r="J21" i="10" s="1"/>
  <c r="G44" i="13"/>
  <c r="G67" i="13"/>
  <c r="J51" i="13"/>
  <c r="J52" i="13" s="1"/>
  <c r="J56" i="13" s="1"/>
  <c r="J60" i="13" s="1"/>
  <c r="J67" i="13" s="1"/>
  <c r="H52" i="13"/>
  <c r="H56" i="13" s="1"/>
  <c r="H60" i="13" s="1"/>
  <c r="H43" i="13"/>
  <c r="I52" i="13"/>
  <c r="I56" i="13" s="1"/>
  <c r="I60" i="13" s="1"/>
  <c r="I43" i="13"/>
  <c r="J15" i="12"/>
  <c r="J16" i="12" s="1"/>
  <c r="G43" i="12"/>
  <c r="J51" i="12"/>
  <c r="J52" i="12" s="1"/>
  <c r="J56" i="12" s="1"/>
  <c r="J60" i="12" s="1"/>
  <c r="J67" i="12" s="1"/>
  <c r="G52" i="12"/>
  <c r="G56" i="12" s="1"/>
  <c r="G60" i="12" s="1"/>
  <c r="H52" i="12"/>
  <c r="H56" i="12" s="1"/>
  <c r="H60" i="12" s="1"/>
  <c r="H43" i="12"/>
  <c r="I52" i="12"/>
  <c r="I56" i="12" s="1"/>
  <c r="I60" i="12" s="1"/>
  <c r="I43" i="12"/>
  <c r="H63" i="9"/>
  <c r="J43" i="17" l="1"/>
  <c r="K43" i="17" s="1"/>
  <c r="J56" i="10"/>
  <c r="G75" i="15"/>
  <c r="G80" i="15" s="1"/>
  <c r="H44" i="17"/>
  <c r="J44" i="17" s="1"/>
  <c r="K44" i="17" s="1"/>
  <c r="H67" i="17"/>
  <c r="G72" i="17"/>
  <c r="H68" i="17"/>
  <c r="J68" i="17" s="1"/>
  <c r="G73" i="17"/>
  <c r="O72" i="17"/>
  <c r="M72" i="17"/>
  <c r="G45" i="17"/>
  <c r="H75" i="15"/>
  <c r="H80" i="15" s="1"/>
  <c r="M72" i="14"/>
  <c r="G73" i="14"/>
  <c r="I73" i="14" s="1"/>
  <c r="J73" i="14" s="1"/>
  <c r="H68" i="14"/>
  <c r="J68" i="14" s="1"/>
  <c r="G72" i="14"/>
  <c r="J43" i="14"/>
  <c r="K43" i="14" s="1"/>
  <c r="J45" i="15"/>
  <c r="I67" i="14"/>
  <c r="I45" i="14" s="1"/>
  <c r="I44" i="14"/>
  <c r="G45" i="14"/>
  <c r="H44" i="14"/>
  <c r="H67" i="14"/>
  <c r="L16" i="14"/>
  <c r="J32" i="10"/>
  <c r="L16" i="13"/>
  <c r="J43" i="13"/>
  <c r="K43" i="13" s="1"/>
  <c r="I67" i="13"/>
  <c r="I44" i="13"/>
  <c r="H67" i="13"/>
  <c r="H44" i="13"/>
  <c r="G73" i="13"/>
  <c r="I73" i="13" s="1"/>
  <c r="J73" i="13" s="1"/>
  <c r="M72" i="13"/>
  <c r="O72" i="13"/>
  <c r="G72" i="13"/>
  <c r="H68" i="13"/>
  <c r="J68" i="13" s="1"/>
  <c r="G45" i="13"/>
  <c r="I44" i="12"/>
  <c r="I67" i="12"/>
  <c r="I45" i="12" s="1"/>
  <c r="J43" i="12"/>
  <c r="K43" i="12" s="1"/>
  <c r="G44" i="12"/>
  <c r="G67" i="12"/>
  <c r="M72" i="12"/>
  <c r="G72" i="12"/>
  <c r="H68" i="12"/>
  <c r="J68" i="12" s="1"/>
  <c r="G73" i="12"/>
  <c r="I73" i="12" s="1"/>
  <c r="J73" i="12" s="1"/>
  <c r="O72" i="12"/>
  <c r="H67" i="12"/>
  <c r="H44" i="12"/>
  <c r="L16" i="12"/>
  <c r="J10" i="10"/>
  <c r="K8" i="9"/>
  <c r="G75" i="17" l="1"/>
  <c r="G80" i="17" s="1"/>
  <c r="I73" i="17"/>
  <c r="J73" i="17" s="1"/>
  <c r="H45" i="17"/>
  <c r="J45" i="17" s="1"/>
  <c r="H75" i="17"/>
  <c r="H80" i="17" s="1"/>
  <c r="G75" i="14"/>
  <c r="G80" i="14" s="1"/>
  <c r="J44" i="14"/>
  <c r="K44" i="14" s="1"/>
  <c r="K46" i="15"/>
  <c r="K45" i="15"/>
  <c r="H45" i="14"/>
  <c r="J45" i="14" s="1"/>
  <c r="H75" i="14"/>
  <c r="H80" i="14" s="1"/>
  <c r="J44" i="13"/>
  <c r="K44" i="13" s="1"/>
  <c r="G75" i="13"/>
  <c r="G80" i="13" s="1"/>
  <c r="H45" i="13"/>
  <c r="H75" i="13"/>
  <c r="H80" i="13" s="1"/>
  <c r="J44" i="12"/>
  <c r="K44" i="12" s="1"/>
  <c r="I45" i="13"/>
  <c r="G45" i="12"/>
  <c r="G75" i="12"/>
  <c r="G80" i="12" s="1"/>
  <c r="H45" i="12"/>
  <c r="H75" i="12"/>
  <c r="H80" i="12" s="1"/>
  <c r="I35" i="9"/>
  <c r="G63" i="9"/>
  <c r="I63" i="9" s="1"/>
  <c r="K46" i="17" l="1"/>
  <c r="K45" i="17"/>
  <c r="K46" i="14"/>
  <c r="K45" i="14"/>
  <c r="J45" i="13"/>
  <c r="K46" i="13" s="1"/>
  <c r="J45" i="12"/>
  <c r="K50" i="9"/>
  <c r="K45" i="13" l="1"/>
  <c r="K46" i="12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5" l="1"/>
  <c r="J72" i="15" s="1"/>
  <c r="I72" i="13"/>
  <c r="J72" i="13" s="1"/>
  <c r="I72" i="12"/>
  <c r="J72" i="12" s="1"/>
  <c r="I72" i="17"/>
  <c r="J72" i="17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4" i="5" l="1"/>
  <c r="CH22" i="5"/>
  <c r="CH46" i="5"/>
  <c r="CH54" i="5"/>
  <c r="CH78" i="5"/>
  <c r="CH110" i="5"/>
  <c r="CH15" i="5"/>
  <c r="CH23" i="5"/>
  <c r="CH63" i="5"/>
  <c r="CH71" i="5"/>
  <c r="CH87" i="5"/>
  <c r="CH119" i="5" s="1"/>
  <c r="CH120" i="5" s="1"/>
  <c r="CH95" i="5"/>
  <c r="CH111" i="5"/>
  <c r="CH8" i="5"/>
  <c r="CH16" i="5"/>
  <c r="CH32" i="5"/>
  <c r="CH48" i="5"/>
  <c r="CH64" i="5"/>
  <c r="CH88" i="5"/>
  <c r="CH112" i="5"/>
  <c r="CH9" i="5"/>
  <c r="CJ9" i="5" s="1"/>
  <c r="CH17" i="5"/>
  <c r="CH25" i="5"/>
  <c r="CH33" i="5"/>
  <c r="CJ33" i="5" s="1"/>
  <c r="CH41" i="5"/>
  <c r="CJ41" i="5" s="1"/>
  <c r="CH73" i="5"/>
  <c r="CH89" i="5"/>
  <c r="CH2" i="5"/>
  <c r="CH10" i="5"/>
  <c r="CH18" i="5"/>
  <c r="CH26" i="5"/>
  <c r="CH34" i="5"/>
  <c r="CH90" i="5"/>
  <c r="CH11" i="5"/>
  <c r="CH51" i="5"/>
  <c r="CJ51" i="5" s="1"/>
  <c r="CH75" i="5"/>
  <c r="CH99" i="5"/>
  <c r="CH4" i="5"/>
  <c r="CH12" i="5"/>
  <c r="CH20" i="5"/>
  <c r="CH28" i="5"/>
  <c r="CH44" i="5"/>
  <c r="CH52" i="5"/>
  <c r="CH92" i="5"/>
  <c r="CH13" i="5"/>
  <c r="CH21" i="5"/>
  <c r="CH29" i="5"/>
  <c r="CH37" i="5"/>
  <c r="CH53" i="5"/>
  <c r="CH61" i="5"/>
  <c r="CH69" i="5"/>
  <c r="CH77" i="5"/>
  <c r="CH109" i="5"/>
  <c r="CH121" i="5" s="1"/>
  <c r="CH122" i="5" s="1"/>
  <c r="CG10" i="5"/>
  <c r="CG18" i="5"/>
  <c r="CG26" i="5"/>
  <c r="CG34" i="5"/>
  <c r="CG90" i="5"/>
  <c r="CG11" i="5"/>
  <c r="CG75" i="5"/>
  <c r="CJ75" i="5" s="1"/>
  <c r="CG99" i="5"/>
  <c r="CJ99" i="5" s="1"/>
  <c r="CG4" i="5"/>
  <c r="CJ4" i="5" s="1"/>
  <c r="CG12" i="5"/>
  <c r="CJ12" i="5" s="1"/>
  <c r="CG20" i="5"/>
  <c r="CG28" i="5"/>
  <c r="CG44" i="5"/>
  <c r="CJ44" i="5" s="1"/>
  <c r="CG52" i="5"/>
  <c r="CJ52" i="5" s="1"/>
  <c r="CG13" i="5"/>
  <c r="CG21" i="5"/>
  <c r="CG29" i="5"/>
  <c r="CG37" i="5"/>
  <c r="CG53" i="5"/>
  <c r="CG61" i="5"/>
  <c r="CG69" i="5"/>
  <c r="CG77" i="5"/>
  <c r="CG109" i="5"/>
  <c r="CG121" i="5" s="1"/>
  <c r="CG122" i="5" s="1"/>
  <c r="CG14" i="5"/>
  <c r="CJ14" i="5" s="1"/>
  <c r="CG22" i="5"/>
  <c r="CG46" i="5"/>
  <c r="CJ46" i="5" s="1"/>
  <c r="CG54" i="5"/>
  <c r="CG78" i="5"/>
  <c r="CG110" i="5"/>
  <c r="CG15" i="5"/>
  <c r="CG23" i="5"/>
  <c r="CG63" i="5"/>
  <c r="CG71" i="5"/>
  <c r="CG87" i="5"/>
  <c r="CG95" i="5"/>
  <c r="CG111" i="5"/>
  <c r="CG8" i="5"/>
  <c r="CG16" i="5"/>
  <c r="CG32" i="5"/>
  <c r="CG48" i="5"/>
  <c r="CG64" i="5"/>
  <c r="CG88" i="5"/>
  <c r="CG112" i="5"/>
  <c r="CG92" i="5"/>
  <c r="CG17" i="5"/>
  <c r="CG25" i="5"/>
  <c r="CG73" i="5"/>
  <c r="CG89" i="5"/>
  <c r="CG2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20" i="5" l="1"/>
  <c r="CJ22" i="5"/>
  <c r="CJ112" i="5"/>
  <c r="CJ95" i="5"/>
  <c r="CJ54" i="5"/>
  <c r="CH123" i="5"/>
  <c r="CH124" i="5" s="1"/>
  <c r="CJ63" i="5"/>
  <c r="CJ18" i="5"/>
  <c r="CG123" i="5"/>
  <c r="CG124" i="5" s="1"/>
  <c r="CJ21" i="5"/>
  <c r="CJ8" i="5"/>
  <c r="CJ110" i="5"/>
  <c r="CJ17" i="5"/>
  <c r="CJ111" i="5"/>
  <c r="CJ78" i="5"/>
  <c r="CJ89" i="5"/>
  <c r="CJ88" i="5"/>
  <c r="CJ87" i="5"/>
  <c r="CG119" i="5"/>
  <c r="CG120" i="5" s="1"/>
  <c r="CJ64" i="5"/>
  <c r="CJ71" i="5"/>
  <c r="CJ73" i="5"/>
  <c r="CJ11" i="5"/>
  <c r="CJ61" i="5"/>
  <c r="CH117" i="5"/>
  <c r="CH118" i="5" s="1"/>
  <c r="CJ28" i="5"/>
  <c r="CJ10" i="5"/>
  <c r="CJ53" i="5"/>
  <c r="CJ48" i="5"/>
  <c r="CG117" i="5"/>
  <c r="CG118" i="5" s="1"/>
  <c r="CJ90" i="5"/>
  <c r="CH115" i="5"/>
  <c r="CH116" i="5" s="1"/>
  <c r="CJ2" i="5"/>
  <c r="CG115" i="5"/>
  <c r="CG116" i="5" s="1"/>
  <c r="CJ77" i="5"/>
  <c r="CJ92" i="5"/>
  <c r="CJ26" i="5"/>
  <c r="CJ16" i="5"/>
  <c r="CJ29" i="5"/>
  <c r="CJ15" i="5"/>
  <c r="CJ25" i="5"/>
  <c r="CJ37" i="5"/>
  <c r="CJ32" i="5"/>
  <c r="CJ23" i="5"/>
  <c r="CJ109" i="5"/>
  <c r="CJ121" i="5" s="1"/>
  <c r="CJ122" i="5" s="1"/>
  <c r="CJ13" i="5"/>
  <c r="CJ69" i="5"/>
  <c r="CJ34" i="5"/>
  <c r="F80" i="9"/>
  <c r="F45" i="9"/>
  <c r="N22" i="9"/>
  <c r="N21" i="9"/>
  <c r="H51" i="9"/>
  <c r="H43" i="9" s="1"/>
  <c r="I51" i="9"/>
  <c r="I43" i="9" s="1"/>
  <c r="CJ123" i="5" l="1"/>
  <c r="CJ124" i="5" s="1"/>
  <c r="M10" i="15"/>
  <c r="K37" i="10"/>
  <c r="CJ119" i="5"/>
  <c r="CJ120" i="5" s="1"/>
  <c r="CJ117" i="5"/>
  <c r="CJ118" i="5" s="1"/>
  <c r="CJ115" i="5"/>
  <c r="CJ116" i="5" s="1"/>
  <c r="M10" i="12" s="1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M10" i="17" l="1"/>
  <c r="K50" i="10"/>
  <c r="K40" i="10"/>
  <c r="L37" i="10"/>
  <c r="L40" i="10" s="1"/>
  <c r="M38" i="15"/>
  <c r="M13" i="15"/>
  <c r="AB10" i="15"/>
  <c r="AC10" i="15" s="1"/>
  <c r="N10" i="15"/>
  <c r="N13" i="15" s="1"/>
  <c r="K26" i="10"/>
  <c r="M10" i="14"/>
  <c r="M10" i="13"/>
  <c r="K15" i="10"/>
  <c r="K4" i="10"/>
  <c r="K7" i="10" s="1"/>
  <c r="M38" i="12"/>
  <c r="M13" i="12"/>
  <c r="N10" i="12"/>
  <c r="N13" i="12" s="1"/>
  <c r="AB10" i="12"/>
  <c r="AC10" i="12" s="1"/>
  <c r="N41" i="9"/>
  <c r="N38" i="9"/>
  <c r="J43" i="9"/>
  <c r="K43" i="9" s="1"/>
  <c r="I67" i="9"/>
  <c r="I45" i="9" s="1"/>
  <c r="K53" i="10" l="1"/>
  <c r="L50" i="10"/>
  <c r="L53" i="10" s="1"/>
  <c r="M13" i="17"/>
  <c r="M38" i="17"/>
  <c r="AB10" i="17"/>
  <c r="AC10" i="17" s="1"/>
  <c r="N10" i="17"/>
  <c r="N13" i="17" s="1"/>
  <c r="M41" i="15"/>
  <c r="AB38" i="15"/>
  <c r="N38" i="15"/>
  <c r="M13" i="14"/>
  <c r="M38" i="14"/>
  <c r="AB10" i="14"/>
  <c r="AC10" i="14" s="1"/>
  <c r="N10" i="14"/>
  <c r="N13" i="14" s="1"/>
  <c r="K29" i="10"/>
  <c r="L26" i="10"/>
  <c r="L29" i="10" s="1"/>
  <c r="K18" i="10"/>
  <c r="L15" i="10"/>
  <c r="L18" i="10" s="1"/>
  <c r="M38" i="13"/>
  <c r="M13" i="13"/>
  <c r="AB10" i="13"/>
  <c r="AC10" i="13" s="1"/>
  <c r="N10" i="13"/>
  <c r="N13" i="13" s="1"/>
  <c r="L4" i="10"/>
  <c r="L7" i="10" s="1"/>
  <c r="M41" i="12"/>
  <c r="AB38" i="12"/>
  <c r="N38" i="12"/>
  <c r="J44" i="9"/>
  <c r="K44" i="9" s="1"/>
  <c r="M41" i="17" l="1"/>
  <c r="AB38" i="17"/>
  <c r="N38" i="17"/>
  <c r="AB44" i="15"/>
  <c r="AC44" i="15" s="1"/>
  <c r="AC38" i="15"/>
  <c r="I69" i="15"/>
  <c r="N41" i="15"/>
  <c r="M41" i="14"/>
  <c r="AB38" i="14"/>
  <c r="N38" i="14"/>
  <c r="M41" i="13"/>
  <c r="AB38" i="13"/>
  <c r="N38" i="13"/>
  <c r="AB44" i="12"/>
  <c r="AC44" i="12" s="1"/>
  <c r="AC38" i="12"/>
  <c r="N41" i="12"/>
  <c r="I69" i="12"/>
  <c r="J67" i="9"/>
  <c r="AC38" i="17" l="1"/>
  <c r="AB44" i="17"/>
  <c r="AC44" i="17" s="1"/>
  <c r="N41" i="17"/>
  <c r="I69" i="17"/>
  <c r="J69" i="15"/>
  <c r="J75" i="15" s="1"/>
  <c r="J80" i="15" s="1"/>
  <c r="I75" i="15"/>
  <c r="I80" i="15" s="1"/>
  <c r="AB44" i="14"/>
  <c r="AC44" i="14" s="1"/>
  <c r="AC38" i="14"/>
  <c r="I69" i="14"/>
  <c r="N41" i="14"/>
  <c r="AB44" i="13"/>
  <c r="AC44" i="13" s="1"/>
  <c r="AC38" i="13"/>
  <c r="N41" i="13"/>
  <c r="I69" i="13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J69" i="17" l="1"/>
  <c r="J75" i="17" s="1"/>
  <c r="J80" i="17" s="1"/>
  <c r="I75" i="17"/>
  <c r="I80" i="17" s="1"/>
  <c r="J69" i="14"/>
  <c r="J75" i="14" s="1"/>
  <c r="J80" i="14" s="1"/>
  <c r="I75" i="14"/>
  <c r="I80" i="14" s="1"/>
  <c r="J69" i="13"/>
  <c r="J75" i="13" s="1"/>
  <c r="J80" i="13" s="1"/>
  <c r="I75" i="13"/>
  <c r="I80" i="13" s="1"/>
  <c r="H75" i="9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A6B636F-AA30-4F73-97EC-0A2D7EEC16C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31AF97F-8557-4F32-942D-5B72AF472495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9C67707-7D79-4623-BA9A-0DDD30046AF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AB4AE0C-3472-4F0D-A9DA-BD3EA302A1F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8B5A0D3-8EC5-48DE-962F-18021BA68CF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36C8A81-F364-43BB-B192-F77A7C3753FF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05BE209-4B63-48D1-9A02-272F60553C4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0A5EDA8-B3C8-401C-9C91-8B5E9507741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65E5F7B-64DB-4916-A6C9-7652FB7D3ED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450EAFC-00FA-48E6-B764-A69D999A7E9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7A8BFCA-3003-4F06-B667-0959C09B1A0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1A75369-4931-477D-8C83-E58DA90D4F2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D751EE7-F870-45AC-99DD-F98AD75E58F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EE7D119-A144-477A-B380-2A5990AF217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3CFCAC4-269A-415E-8166-0AA356F6CDF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B62D6A9F-2978-425E-9E42-871E99A5003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410E6AD-5275-4903-883E-3DDE660CD36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22FD071F-AB72-40F3-8EB4-74B18B37A87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F675A85-B670-4577-BA17-57AA645F3FE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2BB7C96-CF3B-4D9C-B9BC-9E45CFCBDE6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2197471-1C9C-4718-B5FA-F0D30FE7230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53D4D956-D988-4C1F-AB02-F1206D8C8CB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AD52E78-0D17-4140-9559-8B0D0306065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E877DD8-5A3F-415D-AD6B-2D20D86BE4E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4883CF1-D67E-4433-AE42-3F71061EB1F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6C97A70-B4E1-4E20-B9C5-7CE9CD90F4D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F4110BA-5660-4B9E-B9A3-39FB28CB771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BCBECC9-1B51-497E-902D-94F36EC8F69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BE64834-E933-4C40-A26C-676A46AC1BA2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CBEF15D-51ED-4AFE-9D5F-DA95B72ADC2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30CDC87-30A0-4713-965F-6A6767E5F259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24CC298-94C7-4FA3-BF14-2FFA907A769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C44978F-921E-492C-8F74-A806E6E528D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695E59D-9A47-4CB1-B2ED-C0085328CE4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14D071C-F61E-494A-9F56-6DBB47E4670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A1E138E-F8CE-438B-818B-A2C3A378172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F772B20-9B79-42D5-ACA7-0ED9FE7B8DB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B692DAB-9D98-4273-8137-6075BAD44E1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12FF0FF-E4A7-4E8B-BB8E-BE4D9C9BE22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487EAAB-9EDD-4D7D-8CAA-8DBCC7F3BA7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9A974B1-59B4-4664-A404-B1156F08F91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5DEF72F-B4F1-46D0-A63E-554FED12975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E976E47-D737-4DAE-B3BB-D8E460CDAA5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77C939B-6425-47AD-9152-885BD48B80E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F13E6E3-1F2C-490F-B90A-947D2192414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DE26AABC-3B27-46B8-A86A-EC617F5FD01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142554AA-3160-4877-8609-BF8F6DB8CD3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423462DD-A178-4E1A-8198-C5F88DC8C0A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D14044E2-E511-4FBF-B61A-E7FF3BB067A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8" authorId="0" shapeId="0" xr:uid="{03ED22C2-B1EA-4281-929E-5DB8E0E28C5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<sst xmlns="http://schemas.openxmlformats.org/spreadsheetml/2006/main" count="3120" uniqueCount="642">
  <si>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</si>
  <si>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</si>
  <si>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</si>
  <si>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</si>
  <si>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</si>
  <si>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</si>
  <si>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</si>
  <si>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</si>
  <si>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</si>
  <si>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</si>
  <si>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</si>
  <si>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</si>
  <si>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</si>
  <si>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</si>
  <si>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</si>
  <si>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</si>
  <si>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</si>
  <si>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</si>
  <si>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</si>
  <si>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</si>
  <si>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</si>
  <si>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</si>
  <si>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</si>
  <si>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</si>
  <si>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</si>
  <si>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</si>
  <si>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</si>
  <si>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</si>
  <si>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</si>
  <si>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</si>
  <si>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</si>
  <si>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</si>
  <si>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</si>
  <si>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</si>
  <si>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</si>
  <si>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</si>
  <si>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</si>
  <si>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</si>
  <si>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</si>
  <si>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</si>
  <si>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</si>
  <si>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</si>
  <si>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</si>
  <si>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</si>
  <si>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</si>
  <si>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</si>
  <si>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</si>
  <si>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</si>
  <si>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</si>
  <si>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</si>
  <si>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</si>
  <si>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</si>
  <si>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</si>
  <si>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</si>
  <si>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</si>
  <si>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</si>
  <si>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</si>
  <si>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</si>
  <si>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</si>
  <si>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</si>
  <si>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</si>
  <si>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</si>
  <si>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</si>
  <si>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</si>
  <si>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</si>
  <si>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</si>
  <si>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</si>
  <si>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</si>
  <si>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</si>
  <si>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</si>
  <si>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</si>
  <si>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</si>
  <si>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</si>
  <si>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</si>
  <si>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</si>
  <si>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</si>
  <si>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</si>
  <si>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</si>
  <si>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</si>
  <si>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</si>
  <si>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</si>
  <si>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</si>
  <si>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</si>
  <si>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</si>
  <si>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</si>
  <si>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</si>
  <si>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</si>
  <si>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</si>
  <si>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</si>
  <si>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</si>
  <si>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</si>
  <si>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</si>
  <si>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</si>
  <si>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</si>
  <si>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</si>
  <si>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</si>
  <si>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</si>
  <si>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</si>
  <si>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</si>
  <si>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</si>
  <si>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</si>
  <si>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</si>
  <si>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</si>
  <si>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</si>
  <si>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</si>
  <si>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</si>
  <si>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</si>
  <si>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</si>
  <si>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</si>
  <si>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</si>
  <si>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</si>
  <si>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</si>
  <si>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</si>
  <si>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</si>
  <si>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</si>
  <si>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</si>
  <si>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</si>
  <si>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</si>
  <si>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</si>
  <si>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</si>
  <si>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</si>
  <si>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</si>
  <si>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</si>
  <si>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</si>
  <si>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</si>
  <si>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</si>
  <si>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</si>
  <si>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</si>
  <si>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</si>
  <si>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</si>
  <si>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</si>
  <si>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</si>
  <si>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</si>
  <si>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</si>
  <si>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</si>
  <si>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</si>
  <si>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</si>
  <si>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</si>
  <si>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</si>
  <si>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</si>
  <si>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</si>
  <si>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</si>
  <si>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</si>
  <si>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</si>
  <si>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</si>
  <si>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</si>
  <si>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</si>
  <si>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</si>
  <si>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</si>
  <si>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</si>
  <si>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</si>
  <si>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</si>
  <si>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</si>
  <si>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</si>
  <si>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</si>
  <si>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</si>
  <si>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</si>
  <si>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</si>
  <si>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</si>
  <si>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</si>
  <si>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</si>
  <si>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</si>
  <si>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</si>
  <si>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522</t>
  </si>
  <si>
    <t>0010</t>
  </si>
  <si>
    <t xml:space="preserve">CUSTOMER SVC REP 1  </t>
  </si>
  <si>
    <t>0001</t>
  </si>
  <si>
    <t>00</t>
  </si>
  <si>
    <t>EDMA</t>
  </si>
  <si>
    <t>001</t>
  </si>
  <si>
    <t>01121</t>
  </si>
  <si>
    <t>G</t>
  </si>
  <si>
    <t>F</t>
  </si>
  <si>
    <t>CR</t>
  </si>
  <si>
    <t>FORD, EMILY K.</t>
  </si>
  <si>
    <t>FORD</t>
  </si>
  <si>
    <t>EMILY</t>
  </si>
  <si>
    <t>K</t>
  </si>
  <si>
    <t xml:space="preserve">HG   </t>
  </si>
  <si>
    <t>H</t>
  </si>
  <si>
    <t>FS</t>
  </si>
  <si>
    <t>E</t>
  </si>
  <si>
    <t>N</t>
  </si>
  <si>
    <t>Y</t>
  </si>
  <si>
    <t xml:space="preserve">    </t>
  </si>
  <si>
    <t>0015</t>
  </si>
  <si>
    <t xml:space="preserve">PROJECT COORDINATOR </t>
  </si>
  <si>
    <t>02913</t>
  </si>
  <si>
    <t>L</t>
  </si>
  <si>
    <t>V</t>
  </si>
  <si>
    <t>0009</t>
  </si>
  <si>
    <t>FINANCIAL SPECIALIST</t>
  </si>
  <si>
    <t>002</t>
  </si>
  <si>
    <t>04245</t>
  </si>
  <si>
    <t xml:space="preserve">MOORE, LYN </t>
  </si>
  <si>
    <t>MOORE</t>
  </si>
  <si>
    <t>LYN</t>
  </si>
  <si>
    <t xml:space="preserve">              </t>
  </si>
  <si>
    <t xml:space="preserve">HL   </t>
  </si>
  <si>
    <t>0007</t>
  </si>
  <si>
    <t xml:space="preserve">LIBRARY ASST 3      </t>
  </si>
  <si>
    <t>02928</t>
  </si>
  <si>
    <t>I</t>
  </si>
  <si>
    <t>0008</t>
  </si>
  <si>
    <t xml:space="preserve">BOOKSTORE OPERATOR  </t>
  </si>
  <si>
    <t>04658</t>
  </si>
  <si>
    <t>HORSLEY, KELLY P.</t>
  </si>
  <si>
    <t>HORSLEY</t>
  </si>
  <si>
    <t>KELLY</t>
  </si>
  <si>
    <t>P</t>
  </si>
  <si>
    <t xml:space="preserve">HH   </t>
  </si>
  <si>
    <t>9918</t>
  </si>
  <si>
    <t>CURATORIAL REGISTRAR</t>
  </si>
  <si>
    <t>02715</t>
  </si>
  <si>
    <t>NG</t>
  </si>
  <si>
    <t>0006</t>
  </si>
  <si>
    <t>04244</t>
  </si>
  <si>
    <t>M</t>
  </si>
  <si>
    <t>CHIZUM, DAX D.</t>
  </si>
  <si>
    <t>CHIZUM</t>
  </si>
  <si>
    <t>DAX</t>
  </si>
  <si>
    <t>D</t>
  </si>
  <si>
    <t xml:space="preserve">HM   </t>
  </si>
  <si>
    <t>0005</t>
  </si>
  <si>
    <t>DIR-HISTORICAL SOCIE</t>
  </si>
  <si>
    <t>21207</t>
  </si>
  <si>
    <t>NR</t>
  </si>
  <si>
    <t>GALLIMORE, JANET L.</t>
  </si>
  <si>
    <t>GALLIMORE</t>
  </si>
  <si>
    <t>JANET</t>
  </si>
  <si>
    <t>LYNNE</t>
  </si>
  <si>
    <t>00000</t>
  </si>
  <si>
    <t>0002</t>
  </si>
  <si>
    <t>EDUCATION SPECIALIST</t>
  </si>
  <si>
    <t>02362</t>
  </si>
  <si>
    <t>CHIVERS, EMILY E.</t>
  </si>
  <si>
    <t>CHIVERS</t>
  </si>
  <si>
    <t xml:space="preserve">HK   </t>
  </si>
  <si>
    <t>0215</t>
  </si>
  <si>
    <t>BOEHM, CHELSEE K.</t>
  </si>
  <si>
    <t>BOEHM</t>
  </si>
  <si>
    <t>CHELSEE</t>
  </si>
  <si>
    <t>0212</t>
  </si>
  <si>
    <t xml:space="preserve">ARCHIVIST           </t>
  </si>
  <si>
    <t>02744</t>
  </si>
  <si>
    <t>RILEY, JAMES M.</t>
  </si>
  <si>
    <t>RILEY</t>
  </si>
  <si>
    <t>JAMES</t>
  </si>
  <si>
    <t>0206</t>
  </si>
  <si>
    <t>FINANCIAL TECHNICIAN</t>
  </si>
  <si>
    <t>04248</t>
  </si>
  <si>
    <t>BAKER, KIMBERLY D.</t>
  </si>
  <si>
    <t>BAKER</t>
  </si>
  <si>
    <t>KIMBERLY</t>
  </si>
  <si>
    <t>DAWN</t>
  </si>
  <si>
    <t>0078</t>
  </si>
  <si>
    <t>ARCHIVIST TECHNICIAN</t>
  </si>
  <si>
    <t>02745</t>
  </si>
  <si>
    <t>CHARLTON, CATHY C.</t>
  </si>
  <si>
    <t>CHARLTON</t>
  </si>
  <si>
    <t>CATHY</t>
  </si>
  <si>
    <t>C</t>
  </si>
  <si>
    <t xml:space="preserve">HI   </t>
  </si>
  <si>
    <t>0076</t>
  </si>
  <si>
    <t xml:space="preserve">HISTORIAN, STATE    </t>
  </si>
  <si>
    <t>02705</t>
  </si>
  <si>
    <t xml:space="preserve">HEIN, HANNALORE </t>
  </si>
  <si>
    <t>HEIN</t>
  </si>
  <si>
    <t>HANNALORE</t>
  </si>
  <si>
    <t>0072</t>
  </si>
  <si>
    <t>IT OPS &amp; SUPPORT ANA</t>
  </si>
  <si>
    <t>01710</t>
  </si>
  <si>
    <t>CHESNUT, TAWNA S.</t>
  </si>
  <si>
    <t>CHESNUT</t>
  </si>
  <si>
    <t>TAWNA</t>
  </si>
  <si>
    <t>S</t>
  </si>
  <si>
    <t>0071</t>
  </si>
  <si>
    <t xml:space="preserve">HUMAN RESOURCE SPEC </t>
  </si>
  <si>
    <t>05141</t>
  </si>
  <si>
    <t>POLIDORI, M A.</t>
  </si>
  <si>
    <t>POLIDORI</t>
  </si>
  <si>
    <t>ANNETTE</t>
  </si>
  <si>
    <t>0066</t>
  </si>
  <si>
    <t>STATE ARCHIVES ADMIN</t>
  </si>
  <si>
    <t>02711</t>
  </si>
  <si>
    <t>MATTE, DAVID R.</t>
  </si>
  <si>
    <t>MATTE</t>
  </si>
  <si>
    <t>DAVID</t>
  </si>
  <si>
    <t>R</t>
  </si>
  <si>
    <t>9908</t>
  </si>
  <si>
    <t xml:space="preserve">LIBRARY ASST 1      </t>
  </si>
  <si>
    <t>02931</t>
  </si>
  <si>
    <t>0063</t>
  </si>
  <si>
    <t>BOSTWICK, ERIN R.</t>
  </si>
  <si>
    <t>BOSTWICK</t>
  </si>
  <si>
    <t>ERIN</t>
  </si>
  <si>
    <t>0060</t>
  </si>
  <si>
    <t xml:space="preserve">BRADY, MISCHA </t>
  </si>
  <si>
    <t>BRADY</t>
  </si>
  <si>
    <t>MISCHA</t>
  </si>
  <si>
    <t>0058</t>
  </si>
  <si>
    <t xml:space="preserve">LIBRARY SEC MGR     </t>
  </si>
  <si>
    <t>02937</t>
  </si>
  <si>
    <t xml:space="preserve">WESTENBURG, ELIZABETH </t>
  </si>
  <si>
    <t>WESTENBURG</t>
  </si>
  <si>
    <t>ELIZABETH</t>
  </si>
  <si>
    <t>0055</t>
  </si>
  <si>
    <t>EXHIBITIONS DESIGNER</t>
  </si>
  <si>
    <t>02717</t>
  </si>
  <si>
    <t>RICH, BRYAN B.</t>
  </si>
  <si>
    <t>RICH</t>
  </si>
  <si>
    <t>BRYAN</t>
  </si>
  <si>
    <t>B</t>
  </si>
  <si>
    <t>9999</t>
  </si>
  <si>
    <t xml:space="preserve">GROUP POSITION      </t>
  </si>
  <si>
    <t>90000</t>
  </si>
  <si>
    <t>0054</t>
  </si>
  <si>
    <t>DEVELOP MARKETING AD</t>
  </si>
  <si>
    <t>02712</t>
  </si>
  <si>
    <t>BURRELL, DIANA L.</t>
  </si>
  <si>
    <t>BURRELL</t>
  </si>
  <si>
    <t>DIANA</t>
  </si>
  <si>
    <t>0030</t>
  </si>
  <si>
    <t>MAINT &amp; OPERTNS SUPV</t>
  </si>
  <si>
    <t>06609</t>
  </si>
  <si>
    <t>CHESNUT, STEPHEN L.</t>
  </si>
  <si>
    <t>STEPHEN</t>
  </si>
  <si>
    <t>9997</t>
  </si>
  <si>
    <t>0028</t>
  </si>
  <si>
    <t>ARCHAEOLOGIST, STATE</t>
  </si>
  <si>
    <t>02722</t>
  </si>
  <si>
    <t>JOHANSSON, LINDSAY D.</t>
  </si>
  <si>
    <t>JOHANSSON</t>
  </si>
  <si>
    <t>LINDSAY</t>
  </si>
  <si>
    <t xml:space="preserve">HN   </t>
  </si>
  <si>
    <t>0025</t>
  </si>
  <si>
    <t xml:space="preserve">MCCOY NIENDORF, PAIGE </t>
  </si>
  <si>
    <t>MCCOY NIENDORF</t>
  </si>
  <si>
    <t>PAIGE</t>
  </si>
  <si>
    <t>9902</t>
  </si>
  <si>
    <t>9996</t>
  </si>
  <si>
    <t>0023</t>
  </si>
  <si>
    <t xml:space="preserve">BUSINESS OPERATIONS </t>
  </si>
  <si>
    <t>05275</t>
  </si>
  <si>
    <t xml:space="preserve">JOHNSON, APRIL </t>
  </si>
  <si>
    <t>JOHNSON</t>
  </si>
  <si>
    <t>APRIL</t>
  </si>
  <si>
    <t>0021</t>
  </si>
  <si>
    <t xml:space="preserve">PUBLIC INFO OFCR    </t>
  </si>
  <si>
    <t>05578</t>
  </si>
  <si>
    <t>BRESKE, MARK T.</t>
  </si>
  <si>
    <t>BRESKE</t>
  </si>
  <si>
    <t>MARK</t>
  </si>
  <si>
    <t>T</t>
  </si>
  <si>
    <t>21401</t>
  </si>
  <si>
    <t>0019</t>
  </si>
  <si>
    <t>RECORDS MANAGMT SUPV</t>
  </si>
  <si>
    <t>03835</t>
  </si>
  <si>
    <t>STONE, MACKENZIE A.</t>
  </si>
  <si>
    <t>STONE</t>
  </si>
  <si>
    <t>MACKENZIE</t>
  </si>
  <si>
    <t>A</t>
  </si>
  <si>
    <t>9994</t>
  </si>
  <si>
    <t>0018</t>
  </si>
  <si>
    <t xml:space="preserve">TECH RECORDS SPEC 1 </t>
  </si>
  <si>
    <t>01104</t>
  </si>
  <si>
    <t>CHRISTENSEN, DANI R.</t>
  </si>
  <si>
    <t>CHRISTENSEN</t>
  </si>
  <si>
    <t>DANI</t>
  </si>
  <si>
    <t>0017</t>
  </si>
  <si>
    <t>MUSEUM ADMINISTRATOR</t>
  </si>
  <si>
    <t>02710</t>
  </si>
  <si>
    <t>HOBSON, ELIZABETH D.</t>
  </si>
  <si>
    <t>HOBSON</t>
  </si>
  <si>
    <t>DS</t>
  </si>
  <si>
    <t>0070</t>
  </si>
  <si>
    <t>0016</t>
  </si>
  <si>
    <t xml:space="preserve">TECH RECORDS SPEC 2 </t>
  </si>
  <si>
    <t>01103</t>
  </si>
  <si>
    <t xml:space="preserve">BRADY, MORGAN </t>
  </si>
  <si>
    <t>MORGAN</t>
  </si>
  <si>
    <t>0069</t>
  </si>
  <si>
    <t>0014</t>
  </si>
  <si>
    <t>MANAGEMENT ASSISTANT</t>
  </si>
  <si>
    <t>05272</t>
  </si>
  <si>
    <t>J</t>
  </si>
  <si>
    <t xml:space="preserve">HOFFMAN, PATRICIA </t>
  </si>
  <si>
    <t>HOFFMAN</t>
  </si>
  <si>
    <t>PATRICIA</t>
  </si>
  <si>
    <t xml:space="preserve">HJ   </t>
  </si>
  <si>
    <t>0013</t>
  </si>
  <si>
    <t xml:space="preserve">MAINT CRAFTSMAN SR  </t>
  </si>
  <si>
    <t>06632</t>
  </si>
  <si>
    <t>MYERS, GEORGE W.</t>
  </si>
  <si>
    <t>MYERS</t>
  </si>
  <si>
    <t>GEORGE</t>
  </si>
  <si>
    <t>W</t>
  </si>
  <si>
    <t>0056</t>
  </si>
  <si>
    <t xml:space="preserve">MUSEUM PREPARATOR   </t>
  </si>
  <si>
    <t>02718</t>
  </si>
  <si>
    <t>0012</t>
  </si>
  <si>
    <t xml:space="preserve">LIBRARY ASST 2      </t>
  </si>
  <si>
    <t>02929</t>
  </si>
  <si>
    <t>DAVIS, ANGIE K.</t>
  </si>
  <si>
    <t>DAVIS</t>
  </si>
  <si>
    <t>ANGIE</t>
  </si>
  <si>
    <t>0024</t>
  </si>
  <si>
    <t xml:space="preserve">FACILITY SCHEDULING </t>
  </si>
  <si>
    <t>05280</t>
  </si>
  <si>
    <t>0011</t>
  </si>
  <si>
    <t>HETHERINGTON, MICAH O.</t>
  </si>
  <si>
    <t>HETHERINGTON</t>
  </si>
  <si>
    <t>MICAH</t>
  </si>
  <si>
    <t>O</t>
  </si>
  <si>
    <t>0022</t>
  </si>
  <si>
    <t>VOLUNTEER SRVCS COOR</t>
  </si>
  <si>
    <t>07940</t>
  </si>
  <si>
    <t>0034</t>
  </si>
  <si>
    <t>CURATOR, ARCHAEOLOGY</t>
  </si>
  <si>
    <t>0348</t>
  </si>
  <si>
    <t>02709</t>
  </si>
  <si>
    <t>PITKIN, TRAVIS J.</t>
  </si>
  <si>
    <t>PITKIN</t>
  </si>
  <si>
    <t>TRAVIS</t>
  </si>
  <si>
    <t>9920</t>
  </si>
  <si>
    <t xml:space="preserve">DATA COORDINATOR    </t>
  </si>
  <si>
    <t>00800</t>
  </si>
  <si>
    <t>VIHLENE, SHANNON M.</t>
  </si>
  <si>
    <t>VIHLENE</t>
  </si>
  <si>
    <t>SHANNON</t>
  </si>
  <si>
    <t>9915</t>
  </si>
  <si>
    <t>9913</t>
  </si>
  <si>
    <t xml:space="preserve">ILLUSTRATOR         </t>
  </si>
  <si>
    <t>03627</t>
  </si>
  <si>
    <t>9910</t>
  </si>
  <si>
    <t xml:space="preserve">OFFICE SPECIALIST 1 </t>
  </si>
  <si>
    <t>01114</t>
  </si>
  <si>
    <t>9909</t>
  </si>
  <si>
    <t>9905</t>
  </si>
  <si>
    <t xml:space="preserve">PROJECT MANAGER 1   </t>
  </si>
  <si>
    <t>05567</t>
  </si>
  <si>
    <t>9904</t>
  </si>
  <si>
    <t>0208</t>
  </si>
  <si>
    <t xml:space="preserve">ARCHAEOLOGIST       </t>
  </si>
  <si>
    <t>02724</t>
  </si>
  <si>
    <t>SHAVER, CHRISTOPHER L.</t>
  </si>
  <si>
    <t>SHAVER</t>
  </si>
  <si>
    <t>CHRISTOPHER</t>
  </si>
  <si>
    <t>0204</t>
  </si>
  <si>
    <t>DISHMAN, CASSIE M.</t>
  </si>
  <si>
    <t>DISHMAN</t>
  </si>
  <si>
    <t>CASSIE</t>
  </si>
  <si>
    <t>9901</t>
  </si>
  <si>
    <t>0079</t>
  </si>
  <si>
    <t>INTERPRETIVE SPECIAL</t>
  </si>
  <si>
    <t>00971</t>
  </si>
  <si>
    <t>PARRY, ANTHONY L.</t>
  </si>
  <si>
    <t>PARRY</t>
  </si>
  <si>
    <t>ANTHONY</t>
  </si>
  <si>
    <t>0075</t>
  </si>
  <si>
    <t>HISTORIC SITES ADMIN</t>
  </si>
  <si>
    <t>02714</t>
  </si>
  <si>
    <t>0068</t>
  </si>
  <si>
    <t>BRAIN, JACEY J.</t>
  </si>
  <si>
    <t>BRAIN</t>
  </si>
  <si>
    <t>JACEY</t>
  </si>
  <si>
    <t>0067</t>
  </si>
  <si>
    <t xml:space="preserve">HISTORC PRSRVTN RVW </t>
  </si>
  <si>
    <t>02720</t>
  </si>
  <si>
    <t>MOLLOY, ASHLEY L.</t>
  </si>
  <si>
    <t>MOLLOY</t>
  </si>
  <si>
    <t>ASHLEY</t>
  </si>
  <si>
    <t>0061</t>
  </si>
  <si>
    <t>PLANNER,HISTORIC PRS</t>
  </si>
  <si>
    <t>03655</t>
  </si>
  <si>
    <t>0062</t>
  </si>
  <si>
    <t>HISTORIAN SHPO OUTRE</t>
  </si>
  <si>
    <t>02706</t>
  </si>
  <si>
    <t>EVERHART, DANIEL J.</t>
  </si>
  <si>
    <t>EVERHART</t>
  </si>
  <si>
    <t>DANIEL</t>
  </si>
  <si>
    <t>9922</t>
  </si>
  <si>
    <t xml:space="preserve">CUSTOMER SVC REP 2  </t>
  </si>
  <si>
    <t>01120</t>
  </si>
  <si>
    <t>0059</t>
  </si>
  <si>
    <t xml:space="preserve">PROGRAM MANAGER     </t>
  </si>
  <si>
    <t>09047</t>
  </si>
  <si>
    <t>CANADAY, TRICIA L.</t>
  </si>
  <si>
    <t>CANADAY</t>
  </si>
  <si>
    <t>TRICIA</t>
  </si>
  <si>
    <t>0052</t>
  </si>
  <si>
    <t>HISTORIAN, ARCHITECT</t>
  </si>
  <si>
    <t>02707</t>
  </si>
  <si>
    <t>FOX, JASON T.</t>
  </si>
  <si>
    <t>FOX</t>
  </si>
  <si>
    <t>JASON</t>
  </si>
  <si>
    <t>TIPPECONNIC</t>
  </si>
  <si>
    <t>9921</t>
  </si>
  <si>
    <t>9919</t>
  </si>
  <si>
    <t xml:space="preserve">LIBRARIAN           </t>
  </si>
  <si>
    <t>0349</t>
  </si>
  <si>
    <t>02918</t>
  </si>
  <si>
    <t>9917</t>
  </si>
  <si>
    <t>9916</t>
  </si>
  <si>
    <t xml:space="preserve">CARPENTER           </t>
  </si>
  <si>
    <t>06534</t>
  </si>
  <si>
    <t>9914</t>
  </si>
  <si>
    <t>9912</t>
  </si>
  <si>
    <t>9911</t>
  </si>
  <si>
    <t>0217</t>
  </si>
  <si>
    <t>POLIDORI, ALEXANDRA B.</t>
  </si>
  <si>
    <t>ALEXANDRA</t>
  </si>
  <si>
    <t>0073</t>
  </si>
  <si>
    <t>BURRY, CHARLIE R.</t>
  </si>
  <si>
    <t>BURRY</t>
  </si>
  <si>
    <t>CHARLIE</t>
  </si>
  <si>
    <t>9907</t>
  </si>
  <si>
    <t>0031</t>
  </si>
  <si>
    <t xml:space="preserve">STUART, MATT </t>
  </si>
  <si>
    <t>STUART</t>
  </si>
  <si>
    <t>MATT</t>
  </si>
  <si>
    <t>9906</t>
  </si>
  <si>
    <t xml:space="preserve">CURATOR             </t>
  </si>
  <si>
    <t>02713</t>
  </si>
  <si>
    <t>9998</t>
  </si>
  <si>
    <t xml:space="preserve">RECORDS TECHNICIAN  </t>
  </si>
  <si>
    <t>05320</t>
  </si>
  <si>
    <t>9903</t>
  </si>
  <si>
    <t xml:space="preserve">OFFICE SPECIALIST 2 </t>
  </si>
  <si>
    <t>01239</t>
  </si>
  <si>
    <t>9995</t>
  </si>
  <si>
    <t>9993</t>
  </si>
  <si>
    <t>9931</t>
  </si>
  <si>
    <t xml:space="preserve">MAINT CRAFTSMAN     </t>
  </si>
  <si>
    <t>06634</t>
  </si>
  <si>
    <t>9930</t>
  </si>
  <si>
    <t>0003</t>
  </si>
  <si>
    <t>0481</t>
  </si>
  <si>
    <t>09</t>
  </si>
  <si>
    <t>INGHILTERRA, NICOLE L.</t>
  </si>
  <si>
    <t>INGHILTERRA</t>
  </si>
  <si>
    <t>NICOLE</t>
  </si>
  <si>
    <t>0450</t>
  </si>
  <si>
    <t>75</t>
  </si>
  <si>
    <t>EDMB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</si>
  <si>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</si>
  <si>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</si>
  <si>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</si>
  <si>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</si>
  <si>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</si>
  <si>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</si>
  <si>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</si>
  <si>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</si>
  <si>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</si>
  <si>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</si>
  <si>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</si>
  <si>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</si>
  <si>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</si>
  <si>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</si>
  <si>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</si>
  <si>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</si>
  <si>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</si>
  <si>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</si>
  <si>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</si>
  <si>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</si>
  <si>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</si>
  <si>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</si>
  <si>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</si>
  <si>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</si>
  <si>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</si>
  <si>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</si>
  <si>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</si>
  <si>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</si>
  <si>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</si>
  <si>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</si>
  <si>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</si>
  <si>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</si>
  <si>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</si>
  <si>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</si>
  <si>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</si>
  <si>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</si>
  <si>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</si>
  <si>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</si>
  <si>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</si>
  <si>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</si>
  <si>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</si>
  <si>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</si>
  <si>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</si>
  <si>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</si>
  <si>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</si>
  <si>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</si>
  <si>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</si>
  <si>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</si>
  <si>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EDMA 0001-00</t>
  </si>
  <si>
    <t>EDMA 0001</t>
  </si>
  <si>
    <t>Self-Governing Agencies</t>
  </si>
  <si>
    <t>Idaho State Historical Society</t>
  </si>
  <si>
    <t>Historical Society</t>
  </si>
  <si>
    <t>General</t>
  </si>
  <si>
    <t>0001-00</t>
  </si>
  <si>
    <t>10000</t>
  </si>
  <si>
    <t>Historical Society, General   EDMA-0001-00</t>
  </si>
  <si>
    <t>EDMA 0348-00</t>
  </si>
  <si>
    <t>EDMA 0348</t>
  </si>
  <si>
    <t>Federal Grant</t>
  </si>
  <si>
    <t>0348-00</t>
  </si>
  <si>
    <t>34800</t>
  </si>
  <si>
    <t>Historical Society, Federal Grant   EDMA-0348-00</t>
  </si>
  <si>
    <t>EDMA 0349-00</t>
  </si>
  <si>
    <t>EDMA 0349</t>
  </si>
  <si>
    <t>Miscellaneous Revenue</t>
  </si>
  <si>
    <t>0349-00</t>
  </si>
  <si>
    <t>34900</t>
  </si>
  <si>
    <t>Historical Society, Miscellaneous Revenue   EDMA-0349-00</t>
  </si>
  <si>
    <t>EDMA 0481-09</t>
  </si>
  <si>
    <t>EDMA 0481</t>
  </si>
  <si>
    <t>Capitol Commission Operating</t>
  </si>
  <si>
    <t>0481-09</t>
  </si>
  <si>
    <t>48109</t>
  </si>
  <si>
    <t>Historical Society, Capitol Commission Operating   EDMA-0481-09</t>
  </si>
  <si>
    <t>EDMB 0450-75</t>
  </si>
  <si>
    <t>EDMB 0450</t>
  </si>
  <si>
    <t>Records Management Service</t>
  </si>
  <si>
    <t>0450-75</t>
  </si>
  <si>
    <t>45075</t>
  </si>
  <si>
    <t>Historical Society, Records Management Service   EDMB-0450-75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</si>
  <si>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</si>
  <si>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</si>
  <si>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</si>
  <si>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</si>
  <si>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</si>
  <si>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</si>
  <si>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</si>
  <si>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</si>
  <si>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Fund-0348</t>
  </si>
  <si>
    <t>Fund-0349</t>
  </si>
  <si>
    <t>Fund-0450</t>
  </si>
  <si>
    <t>Fund-0481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</si>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</sst>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49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4"/>
      <tableStyleElement type="headerRow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DF149-8FDA-44AC-BBE0-59140545A7E8}">
  <sheetPr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595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522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596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600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597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598</v>
      </c>
      <c r="J5" s="412"/>
      <c r="K5" s="412"/>
      <c r="L5" s="411"/>
      <c r="M5" s="352" t="s">
        <v>113</v>
      </c>
      <c r="N5" s="32" t="s">
        <v>599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"&amp;'EDMA|0001-00'!FiscalYear-1&amp;" SALARY"</f>
        <v>FY 2023 SALARY</v>
      </c>
      <c r="H8" s="50" t="str">
        <f>"FY "&amp;'EDMA|0001-00'!FiscalYear-1&amp;" HEALTH BENEFITS"</f>
        <v>FY 2023 HEALTH BENEFITS</v>
      </c>
      <c r="I8" s="50" t="str">
        <f>"FY "&amp;'EDMA|0001-00'!FiscalYear-1&amp;" VAR BENEFITS"</f>
        <v>FY 2023 VAR BENEFITS</v>
      </c>
      <c r="J8" s="50" t="str">
        <f>"FY "&amp;'EDMA|0001-00'!FiscalYear-1&amp;" TOTAL"</f>
        <v>FY 2023 TOTAL</v>
      </c>
      <c r="K8" s="50" t="str">
        <f>"FY "&amp;'EDMA|0001-00'!FiscalYear&amp;" SALARY CHANGE"</f>
        <v>FY 2024 SALARY CHANGE</v>
      </c>
      <c r="L8" s="50" t="str">
        <f>"FY "&amp;'EDMA|0001-00'!FiscalYear&amp;" CHG HEALTH BENEFITS"</f>
        <v>FY 2024 CHG HEALTH BENEFITS</v>
      </c>
      <c r="M8" s="50" t="str">
        <f>"FY "&amp;'EDMA|0001-00'!FiscalYear&amp;"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[0]!EDMA000100col_INC_FTI</f>
        <v>25.8</v>
      </c>
      <c r="G10" s="218">
        <f>[0]!EDMA000100col_FTI_SALARY_PERM</f>
        <v>1519671.9200000002</v>
      </c>
      <c r="H10" s="218">
        <f>[0]!EDMA000100col_HEALTH_PERM</f>
        <v>322500</v>
      </c>
      <c r="I10" s="218">
        <f>[0]!EDMA000100col_TOT_VB_PERM</f>
        <v>327381.98629240005</v>
      </c>
      <c r="J10" s="219">
        <f>SUM(G10:I10)</f>
        <v>2169553.9062924003</v>
      </c>
      <c r="K10" s="219">
        <f>[0]!EDMA000100col_1_27TH_PP</f>
        <v>0</v>
      </c>
      <c r="L10" s="218">
        <f>[0]!EDMA000100col_HEALTH_PERM_CHG</f>
        <v>32250</v>
      </c>
      <c r="M10" s="218">
        <f>[0]!EDMA000100col_TOT_VB_PERM_CHG</f>
        <v>-13829.01447200001</v>
      </c>
      <c r="N10" s="218">
        <f>SUM(L10:M10)</f>
        <v>18420.98552799999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15200</v>
      </c>
      <c r="AB10" s="335">
        <f>ROUND(PermVarBen*CECPerm+(CECPerm*PermVarBenChg),-2)</f>
        <v>3100</v>
      </c>
      <c r="AC10" s="335">
        <f>SUM(AA10:AB10)</f>
        <v>18300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[0]!EDMA000100col_Group_Salary</f>
        <v>25107.42</v>
      </c>
      <c r="H11" s="218">
        <v>0</v>
      </c>
      <c r="I11" s="218">
        <f>[0]!EDMA000100col_Group_Ben</f>
        <v>2435.89</v>
      </c>
      <c r="J11" s="219">
        <f>SUM(G11:I11)</f>
        <v>27543.309999999998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300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[0]!EDMA000100col_TOTAL_ELECT_PCN_FTI</f>
        <v>0</v>
      </c>
      <c r="G12" s="218">
        <f>[0]!EDMA000100col_FTI_SALARY_ELECT</f>
        <v>0</v>
      </c>
      <c r="H12" s="218">
        <f>[0]!EDMA000100col_HEALTH_ELECT</f>
        <v>0</v>
      </c>
      <c r="I12" s="218">
        <f>[0]!EDMA000100col_TOT_VB_ELECT</f>
        <v>0</v>
      </c>
      <c r="J12" s="219">
        <f>SUM(G12:I12)</f>
        <v>0</v>
      </c>
      <c r="K12" s="268"/>
      <c r="L12" s="218">
        <f>[0]!EDMA000100col_HEALTH_ELECT_CHG</f>
        <v>0</v>
      </c>
      <c r="M12" s="218">
        <f>[0]!EDMA000100col_TOT_VB_ELECT_CHG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25.8</v>
      </c>
      <c r="G13" s="221">
        <f>SUM(G10:G12)</f>
        <v>1544779.34</v>
      </c>
      <c r="H13" s="221">
        <f>SUM(H10:H12)</f>
        <v>322500</v>
      </c>
      <c r="I13" s="221">
        <f>SUM(I10:I12)</f>
        <v>329817.87629240006</v>
      </c>
      <c r="J13" s="219">
        <f>SUM(G13:I13)</f>
        <v>2197097.2162923999</v>
      </c>
      <c r="K13" s="268"/>
      <c r="L13" s="219">
        <f>SUM(L10:L12)</f>
        <v>32250</v>
      </c>
      <c r="M13" s="219">
        <f>SUM(M10:M12)</f>
        <v>-13829.01447200001</v>
      </c>
      <c r="N13" s="219">
        <f>SUM(N10:N12)</f>
        <v>18420.98552799999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"&amp;'EDMA|0001-00'!FiscalYear-1</f>
        <v>FY 2023</v>
      </c>
      <c r="D15" s="158" t="s">
        <v>31</v>
      </c>
      <c r="E15" s="355">
        <v>2530800</v>
      </c>
      <c r="F15" s="55">
        <v>30.8</v>
      </c>
      <c r="G15" s="223">
        <f>IF(OrigApprop=0,0,(G13/$J$13)*OrigApprop)</f>
        <v>1779405.8108495197</v>
      </c>
      <c r="H15" s="223">
        <f>IF(OrigApprop=0,0,(H13/$J$13)*OrigApprop)</f>
        <v>371482.42414930928</v>
      </c>
      <c r="I15" s="223">
        <f>IF(G15=0,0,(I13/$J$13)*OrigApprop)</f>
        <v>379911.76500117138</v>
      </c>
      <c r="J15" s="223">
        <f>SUM(G15:I15)</f>
        <v>2530800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5</v>
      </c>
      <c r="G16" s="162">
        <f>G15-G13</f>
        <v>234626.4708495196</v>
      </c>
      <c r="H16" s="162">
        <f>H15-H13</f>
        <v>48982.424149309285</v>
      </c>
      <c r="I16" s="162">
        <f>I15-I13</f>
        <v>50093.888708771323</v>
      </c>
      <c r="J16" s="162">
        <f>J15-J13</f>
        <v>333702.78370760009</v>
      </c>
      <c r="K16" s="269"/>
      <c r="L16" s="56" t="str">
        <f>IF('EDMA|0001-00'!OrigApprop=0,"No Original Appropriation amount in DU 3.00 for this fund","Calculated "&amp;IF('EDMA|0001-00'!AdjustedTotal&gt;0,"overfunding ","underfunding ")&amp;"is "&amp;TEXT('EDMA|0001-00'!AdjustedTotal/'EDMA|0001-00'!AppropTotal,"#.0%;(#.0% );0% ;")&amp;" of Original Appropriation")</f>
        <v>Calculated overfunding is 13.2%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25.8</v>
      </c>
      <c r="G38" s="191">
        <f>SUMIF($E10:$E35,$E38,$G10:$G35)</f>
        <v>1519671.9200000002</v>
      </c>
      <c r="H38" s="192">
        <f>SUMIF($E10:$E35,$E38,$H10:$H35)</f>
        <v>322500</v>
      </c>
      <c r="I38" s="192">
        <f>SUMIF($E10:$E35,$E38,$I10:$I35)</f>
        <v>327381.98629240005</v>
      </c>
      <c r="J38" s="192">
        <f>SUM(G38:I38)</f>
        <v>2169553.9062924003</v>
      </c>
      <c r="K38" s="166"/>
      <c r="L38" s="191">
        <f>SUMIF($E10:$E35,$E38,$L10:$L35)</f>
        <v>32250</v>
      </c>
      <c r="M38" s="192">
        <f>SUMIF($E10:$E35,$E38,$M10:$M35)</f>
        <v>-13829.01447200001</v>
      </c>
      <c r="N38" s="192">
        <f>SUM(L38:M38)</f>
        <v>18420.98552799999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15200</v>
      </c>
      <c r="AB38" s="338">
        <f>ROUND((AdjPermVB*CECPerm+AdjPermVBBY*CECPerm),-2)</f>
        <v>3100</v>
      </c>
      <c r="AC38" s="338">
        <f>SUM(AA38:AB38)</f>
        <v>18300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25107.42</v>
      </c>
      <c r="H39" s="152">
        <f>SUMIF($E10:$E35,$E39,$H10:$H35)</f>
        <v>0</v>
      </c>
      <c r="I39" s="152">
        <f>SUMIF($E10:$E35,$E39,$I10:$I35)</f>
        <v>2435.89</v>
      </c>
      <c r="J39" s="152">
        <f>SUM(G39:I39)</f>
        <v>27543.309999999998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300</v>
      </c>
      <c r="AB39" s="338">
        <f>ROUND(AdjGroupVB*CECGroup,-2)</f>
        <v>0</v>
      </c>
      <c r="AC39" s="338">
        <f>SUM(AA39:AB39)</f>
        <v>300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25.8</v>
      </c>
      <c r="G41" s="195">
        <f>SUM($G$38:$G$40)</f>
        <v>1544779.34</v>
      </c>
      <c r="H41" s="162">
        <f>SUM($H$38:$H$40)</f>
        <v>322500</v>
      </c>
      <c r="I41" s="162">
        <f>SUM($I$38:$I$40)</f>
        <v>329817.87629240006</v>
      </c>
      <c r="J41" s="162">
        <f>SUM($J$38:$J$40)</f>
        <v>2197097.2162924004</v>
      </c>
      <c r="K41" s="259"/>
      <c r="L41" s="195">
        <f>SUM($L$38:$L$40)</f>
        <v>32250</v>
      </c>
      <c r="M41" s="162">
        <f>SUM($M$38:$M$40)</f>
        <v>-13829.01447200001</v>
      </c>
      <c r="N41" s="162">
        <f>SUM(L41:M41)</f>
        <v>18420.98552799999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5</v>
      </c>
      <c r="G43" s="206">
        <f>G51-G41</f>
        <v>234626.47084951913</v>
      </c>
      <c r="H43" s="159">
        <f>H51-H41</f>
        <v>48982.424149309169</v>
      </c>
      <c r="I43" s="159">
        <f>I51-I41</f>
        <v>50093.888708771265</v>
      </c>
      <c r="J43" s="159">
        <f>SUM(G43:I43)</f>
        <v>333702.78370759956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13.2%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5</v>
      </c>
      <c r="G44" s="206">
        <f>G60-G41</f>
        <v>234620.65999999992</v>
      </c>
      <c r="H44" s="159">
        <f>H60-H41</f>
        <v>49000</v>
      </c>
      <c r="I44" s="159">
        <f>I60-I41</f>
        <v>50082.123707599938</v>
      </c>
      <c r="J44" s="159">
        <f>SUM(G44:I44)</f>
        <v>333702.78370759985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13.2%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5</v>
      </c>
      <c r="G45" s="206">
        <f>G67-G41-G63</f>
        <v>234620.65999999992</v>
      </c>
      <c r="H45" s="206">
        <f>H67-H41-H63</f>
        <v>49000</v>
      </c>
      <c r="I45" s="206">
        <f>I67-I41-I63</f>
        <v>50082.123707599938</v>
      </c>
      <c r="J45" s="159">
        <f>SUM(G45:I45)</f>
        <v>333702.78370759985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13.2%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2530800</v>
      </c>
      <c r="F51" s="272">
        <f>AppropFTP</f>
        <v>30.8</v>
      </c>
      <c r="G51" s="274">
        <f>IF(E51=0,0,(G41/$J$41)*$E$51)</f>
        <v>1779405.8108495192</v>
      </c>
      <c r="H51" s="274">
        <f>IF(E51=0,0,(H41/$J$41)*$E$51)</f>
        <v>371482.42414930917</v>
      </c>
      <c r="I51" s="275">
        <f>IF(E51=0,0,(I41/$J$41)*$E$51)</f>
        <v>379911.76500117133</v>
      </c>
      <c r="J51" s="90">
        <f>SUM(G51:I51)</f>
        <v>2530799.9999999995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30.8</v>
      </c>
      <c r="G52" s="79">
        <f>ROUND(G51,-2)</f>
        <v>1779400</v>
      </c>
      <c r="H52" s="79">
        <f>ROUND(H51,-2)</f>
        <v>371500</v>
      </c>
      <c r="I52" s="266">
        <f>ROUND(I51,-2)</f>
        <v>379900</v>
      </c>
      <c r="J52" s="80">
        <f>ROUND(J51,-2)</f>
        <v>2530800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30.8</v>
      </c>
      <c r="G56" s="80">
        <f>SUM(G52:G55)</f>
        <v>1779400</v>
      </c>
      <c r="H56" s="80">
        <f>SUM(H52:H55)</f>
        <v>371500</v>
      </c>
      <c r="I56" s="260">
        <f>SUM(I52:I55)</f>
        <v>379900</v>
      </c>
      <c r="J56" s="80">
        <f>SUM(J52:J55)</f>
        <v>2530800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30.8</v>
      </c>
      <c r="G60" s="80">
        <f>SUM(G56:G59)</f>
        <v>1779400</v>
      </c>
      <c r="H60" s="80">
        <f>SUM(H56:H59)</f>
        <v>371500</v>
      </c>
      <c r="I60" s="260">
        <f>SUM(I56:I59)</f>
        <v>379900</v>
      </c>
      <c r="J60" s="80">
        <f>SUM(J56:J59)</f>
        <v>2530800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30.8</v>
      </c>
      <c r="G67" s="80">
        <f>SUM(G60:G64)</f>
        <v>1779400</v>
      </c>
      <c r="H67" s="80">
        <f>SUM(H60:H64)</f>
        <v>371500</v>
      </c>
      <c r="I67" s="80">
        <f>SUM(I60:I64)</f>
        <v>379900</v>
      </c>
      <c r="J67" s="80">
        <f>SUM(J60:J64)</f>
        <v>2530800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32300</v>
      </c>
      <c r="I68" s="113"/>
      <c r="J68" s="287">
        <f>SUM(G68:I68)</f>
        <v>32300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-13800</v>
      </c>
      <c r="J69" s="287">
        <f>SUM(G69:I69)</f>
        <v>-13800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15200</v>
      </c>
      <c r="H72" s="287"/>
      <c r="I72" s="287">
        <f>ROUND(($G72*PermVBBY+$G72*Retire1BY),-2)</f>
        <v>3100</v>
      </c>
      <c r="J72" s="113">
        <f>SUM(G72:I72)</f>
        <v>18300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300</v>
      </c>
      <c r="H73" s="287"/>
      <c r="I73" s="287">
        <f>ROUND(($G73*GroupVBBY),-2)</f>
        <v>0</v>
      </c>
      <c r="J73" s="113">
        <f t="shared" si="11"/>
        <v>300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30.8</v>
      </c>
      <c r="G75" s="80">
        <f>SUM(G67:G74)</f>
        <v>1794900</v>
      </c>
      <c r="H75" s="80">
        <f>SUM(H67:H74)</f>
        <v>403800</v>
      </c>
      <c r="I75" s="80">
        <f>SUM(I67:I74)</f>
        <v>369200</v>
      </c>
      <c r="J75" s="80">
        <f>SUM(J67:K74)</f>
        <v>2567900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30.8</v>
      </c>
      <c r="G80" s="80">
        <f>SUM(G75:G79)</f>
        <v>1794900</v>
      </c>
      <c r="H80" s="80">
        <f>SUM(H75:H79)</f>
        <v>403800</v>
      </c>
      <c r="I80" s="80">
        <f>SUM(I75:I79)</f>
        <v>369200</v>
      </c>
      <c r="J80" s="80">
        <f>SUM(J75:J79)</f>
        <v>2567900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52" priority="8">
      <formula>$J$44&lt;0</formula>
    </cfRule>
  </conditionalFormatting>
  <conditionalFormatting sqref="K43">
    <cfRule type="expression" dxfId="51" priority="7">
      <formula>$J$43&lt;0</formula>
    </cfRule>
  </conditionalFormatting>
  <conditionalFormatting sqref="L16">
    <cfRule type="expression" dxfId="50" priority="6">
      <formula>$J$16&lt;0</formula>
    </cfRule>
  </conditionalFormatting>
  <conditionalFormatting sqref="K45">
    <cfRule type="expression" dxfId="49" priority="5">
      <formula>$J$44&lt;0</formula>
    </cfRule>
  </conditionalFormatting>
  <conditionalFormatting sqref="K43:N45">
    <cfRule type="containsText" dxfId="48" priority="4" operator="containsText" text="underfunding">
      <formula>NOT(ISERROR(SEARCH("underfunding",K43)))</formula>
    </cfRule>
  </conditionalFormatting>
  <conditionalFormatting sqref="K44">
    <cfRule type="expression" dxfId="47" priority="3">
      <formula>$J$44&lt;0</formula>
    </cfRule>
  </conditionalFormatting>
  <conditionalFormatting sqref="K45">
    <cfRule type="expression" dxfId="46" priority="2">
      <formula>$J$44&lt;0</formula>
    </cfRule>
  </conditionalFormatting>
  <conditionalFormatting sqref="K45">
    <cfRule type="expression" dxfId="4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6D7602-AC9C-4E83-8D59-52AA9D4D03E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31"/>
  <sheetViews>
    <sheetView workbookViewId="0">
      <selection activeCell="E8" sqref="E8:M31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3.570312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8" t="s">
        <v>629</v>
      </c>
      <c r="G5" s="478"/>
      <c r="H5" s="479" t="s">
        <v>627</v>
      </c>
      <c r="I5" s="478" t="s">
        <v>630</v>
      </c>
      <c r="J5" s="478"/>
      <c r="K5" s="479" t="s">
        <v>628</v>
      </c>
      <c r="L5" s="478" t="s">
        <v>631</v>
      </c>
      <c r="M5" s="478"/>
    </row>
    <row r="6" spans="1:13" ht="15.75">
      <c r="E6" s="249"/>
      <c r="F6" s="253" t="s">
        <v>92</v>
      </c>
      <c r="G6" s="254" t="s">
        <v>94</v>
      </c>
      <c r="H6" s="480"/>
      <c r="I6" s="253" t="s">
        <v>96</v>
      </c>
      <c r="J6" s="254" t="s">
        <v>93</v>
      </c>
      <c r="K6" s="480"/>
      <c r="L6" s="278" t="s">
        <v>96</v>
      </c>
      <c r="M6" s="254" t="s">
        <v>93</v>
      </c>
    </row>
    <row r="7" spans="1:13">
      <c r="A7" s="393" t="s">
        <v>632</v>
      </c>
      <c r="D7" s="250"/>
    </row>
    <row r="8" spans="1:13">
      <c r="C8" t="s">
        <v>599</v>
      </c>
      <c r="D8" s="250"/>
      <c r="E8" s="403">
        <f>Data!AS132</f>
        <v>25.8</v>
      </c>
      <c r="F8" s="403">
        <f>Data!AT132</f>
        <v>1625990.0999999999</v>
      </c>
      <c r="G8" s="403">
        <f>Data!AU132</f>
        <v>702266.56</v>
      </c>
      <c r="H8" s="403">
        <f>Data!AV132</f>
        <v>1519671.9200000002</v>
      </c>
      <c r="I8" s="403">
        <f>Data!AW132</f>
        <v>322500</v>
      </c>
      <c r="J8" s="403">
        <f>Data!AX132</f>
        <v>327381.98629240005</v>
      </c>
      <c r="K8" s="403">
        <f>Data!AY132</f>
        <v>1519671.9200000002</v>
      </c>
      <c r="L8" s="403">
        <f>Data!AZ132</f>
        <v>354750</v>
      </c>
      <c r="M8" s="403">
        <f>Data!BA132</f>
        <v>313552.97182039998</v>
      </c>
    </row>
    <row r="9" spans="1:13">
      <c r="B9" t="s">
        <v>633</v>
      </c>
      <c r="D9" s="250"/>
      <c r="E9" s="404">
        <f>Data!AS133</f>
        <v>25.8</v>
      </c>
      <c r="F9" s="404">
        <f>Data!AT133</f>
        <v>1625990.0999999999</v>
      </c>
      <c r="G9" s="404">
        <f>Data!AU133</f>
        <v>702266.56</v>
      </c>
      <c r="H9" s="404">
        <f>Data!AV133</f>
        <v>1519671.9200000002</v>
      </c>
      <c r="I9" s="404">
        <f>Data!AW133</f>
        <v>322500</v>
      </c>
      <c r="J9" s="404">
        <f>Data!AX133</f>
        <v>327381.98629240005</v>
      </c>
      <c r="K9" s="404">
        <f>Data!AY133</f>
        <v>1519671.9200000002</v>
      </c>
      <c r="L9" s="404">
        <f>Data!AZ133</f>
        <v>354750</v>
      </c>
      <c r="M9" s="404">
        <f>Data!BA133</f>
        <v>313552.97182039998</v>
      </c>
    </row>
    <row r="10" spans="1:13">
      <c r="C10" t="s">
        <v>605</v>
      </c>
      <c r="D10" s="250"/>
      <c r="E10" s="403">
        <f>Data!AS134</f>
        <v>9.5</v>
      </c>
      <c r="F10" s="403">
        <f>Data!AT134</f>
        <v>593368.5</v>
      </c>
      <c r="G10" s="403">
        <f>Data!AU134</f>
        <v>251683.56</v>
      </c>
      <c r="H10" s="403">
        <f>Data!AV134</f>
        <v>578754.79999999993</v>
      </c>
      <c r="I10" s="403">
        <f>Data!AW134</f>
        <v>118750</v>
      </c>
      <c r="J10" s="403">
        <f>Data!AX134</f>
        <v>125081.45236599998</v>
      </c>
      <c r="K10" s="403">
        <f>Data!AY134</f>
        <v>578754.79999999993</v>
      </c>
      <c r="L10" s="403">
        <f>Data!AZ134</f>
        <v>130625</v>
      </c>
      <c r="M10" s="403">
        <f>Data!BA134</f>
        <v>119814.78368599998</v>
      </c>
    </row>
    <row r="11" spans="1:13">
      <c r="B11" t="s">
        <v>634</v>
      </c>
      <c r="D11" s="250"/>
      <c r="E11" s="404">
        <f>Data!AS135</f>
        <v>9.5</v>
      </c>
      <c r="F11" s="404">
        <f>Data!AT135</f>
        <v>593368.5</v>
      </c>
      <c r="G11" s="404">
        <f>Data!AU135</f>
        <v>251683.56</v>
      </c>
      <c r="H11" s="404">
        <f>Data!AV135</f>
        <v>578754.79999999993</v>
      </c>
      <c r="I11" s="404">
        <f>Data!AW135</f>
        <v>118750</v>
      </c>
      <c r="J11" s="404">
        <f>Data!AX135</f>
        <v>125081.45236599998</v>
      </c>
      <c r="K11" s="404">
        <f>Data!AY135</f>
        <v>578754.79999999993</v>
      </c>
      <c r="L11" s="404">
        <f>Data!AZ135</f>
        <v>130625</v>
      </c>
      <c r="M11" s="404">
        <f>Data!BA135</f>
        <v>119814.78368599998</v>
      </c>
    </row>
    <row r="12" spans="1:13">
      <c r="C12" t="s">
        <v>611</v>
      </c>
      <c r="D12" s="250"/>
      <c r="E12" s="403">
        <f>Data!AS136</f>
        <v>7</v>
      </c>
      <c r="F12" s="403">
        <f>Data!AT136</f>
        <v>257113.97</v>
      </c>
      <c r="G12" s="403">
        <f>Data!AU136</f>
        <v>129311.93999999999</v>
      </c>
      <c r="H12" s="403">
        <f>Data!AV136</f>
        <v>320840</v>
      </c>
      <c r="I12" s="403">
        <f>Data!AW136</f>
        <v>87500</v>
      </c>
      <c r="J12" s="403">
        <f>Data!AX136</f>
        <v>69380.045800000007</v>
      </c>
      <c r="K12" s="403">
        <f>Data!AY136</f>
        <v>320840</v>
      </c>
      <c r="L12" s="403">
        <f>Data!AZ136</f>
        <v>96250</v>
      </c>
      <c r="M12" s="403">
        <f>Data!BA136</f>
        <v>66460.401800000007</v>
      </c>
    </row>
    <row r="13" spans="1:13">
      <c r="B13" t="s">
        <v>635</v>
      </c>
      <c r="D13" s="250"/>
      <c r="E13" s="404">
        <f>Data!AS137</f>
        <v>7</v>
      </c>
      <c r="F13" s="404">
        <f>Data!AT137</f>
        <v>257113.97</v>
      </c>
      <c r="G13" s="404">
        <f>Data!AU137</f>
        <v>129311.93999999999</v>
      </c>
      <c r="H13" s="404">
        <f>Data!AV137</f>
        <v>320840</v>
      </c>
      <c r="I13" s="404">
        <f>Data!AW137</f>
        <v>87500</v>
      </c>
      <c r="J13" s="404">
        <f>Data!AX137</f>
        <v>69380.045800000007</v>
      </c>
      <c r="K13" s="404">
        <f>Data!AY137</f>
        <v>320840</v>
      </c>
      <c r="L13" s="404">
        <f>Data!AZ137</f>
        <v>96250</v>
      </c>
      <c r="M13" s="404">
        <f>Data!BA137</f>
        <v>66460.401800000007</v>
      </c>
    </row>
    <row r="14" spans="1:13">
      <c r="C14" t="s">
        <v>623</v>
      </c>
      <c r="E14" s="403">
        <f>Data!AS138</f>
        <v>2.7</v>
      </c>
      <c r="F14" s="403">
        <f>Data!AT138</f>
        <v>72467.13</v>
      </c>
      <c r="G14" s="403">
        <f>Data!AU138</f>
        <v>36376.83</v>
      </c>
      <c r="H14" s="403">
        <f>Data!AV138</f>
        <v>119602.08000000002</v>
      </c>
      <c r="I14" s="403">
        <f>Data!AW138</f>
        <v>33750</v>
      </c>
      <c r="J14" s="403">
        <f>Data!AX138</f>
        <v>25863.351789600001</v>
      </c>
      <c r="K14" s="403">
        <f>Data!AY138</f>
        <v>119602.08000000002</v>
      </c>
      <c r="L14" s="403">
        <f>Data!AZ138</f>
        <v>37125</v>
      </c>
      <c r="M14" s="403">
        <f>Data!BA138</f>
        <v>24774.972861600003</v>
      </c>
    </row>
    <row r="15" spans="1:13">
      <c r="B15" t="s">
        <v>636</v>
      </c>
      <c r="E15" s="404">
        <f>Data!AS139</f>
        <v>2.7</v>
      </c>
      <c r="F15" s="404">
        <f>Data!AT139</f>
        <v>72467.13</v>
      </c>
      <c r="G15" s="404">
        <f>Data!AU139</f>
        <v>36376.83</v>
      </c>
      <c r="H15" s="404">
        <f>Data!AV139</f>
        <v>119602.08000000002</v>
      </c>
      <c r="I15" s="404">
        <f>Data!AW139</f>
        <v>33750</v>
      </c>
      <c r="J15" s="404">
        <f>Data!AX139</f>
        <v>25863.351789600001</v>
      </c>
      <c r="K15" s="404">
        <f>Data!AY139</f>
        <v>119602.08000000002</v>
      </c>
      <c r="L15" s="404">
        <f>Data!AZ139</f>
        <v>37125</v>
      </c>
      <c r="M15" s="404">
        <f>Data!BA139</f>
        <v>24774.972861600003</v>
      </c>
    </row>
    <row r="16" spans="1:13">
      <c r="C16" t="s">
        <v>617</v>
      </c>
      <c r="E16" s="403">
        <f>Data!AS140</f>
        <v>1</v>
      </c>
      <c r="F16" s="403">
        <f>Data!AT140</f>
        <v>49754.689999999995</v>
      </c>
      <c r="G16" s="403">
        <f>Data!AU140</f>
        <v>22237.48</v>
      </c>
      <c r="H16" s="403">
        <f>Data!AV140</f>
        <v>54121.599999999999</v>
      </c>
      <c r="I16" s="403">
        <f>Data!AW140</f>
        <v>12500</v>
      </c>
      <c r="J16" s="403">
        <f>Data!AX140</f>
        <v>11703.525392000001</v>
      </c>
      <c r="K16" s="403">
        <f>Data!AY140</f>
        <v>54121.599999999999</v>
      </c>
      <c r="L16" s="403">
        <f>Data!AZ140</f>
        <v>13750</v>
      </c>
      <c r="M16" s="403">
        <f>Data!BA140</f>
        <v>11211.018832</v>
      </c>
    </row>
    <row r="17" spans="1:13">
      <c r="B17" t="s">
        <v>637</v>
      </c>
      <c r="E17" s="404">
        <f>Data!AS141</f>
        <v>1</v>
      </c>
      <c r="F17" s="404">
        <f>Data!AT141</f>
        <v>49754.689999999995</v>
      </c>
      <c r="G17" s="404">
        <f>Data!AU141</f>
        <v>22237.48</v>
      </c>
      <c r="H17" s="404">
        <f>Data!AV141</f>
        <v>54121.599999999999</v>
      </c>
      <c r="I17" s="404">
        <f>Data!AW141</f>
        <v>12500</v>
      </c>
      <c r="J17" s="404">
        <f>Data!AX141</f>
        <v>11703.525392000001</v>
      </c>
      <c r="K17" s="404">
        <f>Data!AY141</f>
        <v>54121.599999999999</v>
      </c>
      <c r="L17" s="404">
        <f>Data!AZ141</f>
        <v>13750</v>
      </c>
      <c r="M17" s="404">
        <f>Data!BA141</f>
        <v>11211.018832</v>
      </c>
    </row>
    <row r="18" spans="1:13">
      <c r="E18" s="403">
        <f>Data!AS142</f>
        <v>0</v>
      </c>
      <c r="F18" s="403">
        <f>Data!AT142</f>
        <v>0</v>
      </c>
      <c r="G18" s="403">
        <f>Data!AU142</f>
        <v>0</v>
      </c>
      <c r="H18" s="403">
        <f>Data!AV142</f>
        <v>0</v>
      </c>
      <c r="I18" s="403">
        <f>Data!AW142</f>
        <v>0</v>
      </c>
      <c r="J18" s="403">
        <f>Data!AX142</f>
        <v>0</v>
      </c>
      <c r="K18" s="403">
        <f>Data!AY142</f>
        <v>0</v>
      </c>
      <c r="L18" s="403">
        <f>Data!AZ142</f>
        <v>0</v>
      </c>
      <c r="M18" s="403">
        <f>Data!BA142</f>
        <v>0</v>
      </c>
    </row>
    <row r="19" spans="1:13">
      <c r="A19" s="397" t="s">
        <v>638</v>
      </c>
      <c r="E19" s="405">
        <f>Data!AS143</f>
        <v>46</v>
      </c>
      <c r="F19" s="405">
        <f>Data!AT143</f>
        <v>2598694.3899999997</v>
      </c>
      <c r="G19" s="405">
        <f>Data!AU143</f>
        <v>1141876.3700000001</v>
      </c>
      <c r="H19" s="405">
        <f>Data!AV143</f>
        <v>2592990.4000000004</v>
      </c>
      <c r="I19" s="405">
        <f>Data!AW143</f>
        <v>575000</v>
      </c>
      <c r="J19" s="405">
        <f>Data!AX143</f>
        <v>559410.36164000002</v>
      </c>
      <c r="K19" s="405">
        <f>Data!AY143</f>
        <v>2592990.4000000004</v>
      </c>
      <c r="L19" s="405">
        <f>Data!AZ143</f>
        <v>632500</v>
      </c>
      <c r="M19" s="405">
        <f>Data!BA143</f>
        <v>535814.14899999998</v>
      </c>
    </row>
    <row r="20" spans="1:13">
      <c r="E20" s="403">
        <f>Data!AS144</f>
        <v>0</v>
      </c>
      <c r="F20" s="403">
        <f>Data!AT144</f>
        <v>0</v>
      </c>
      <c r="G20" s="403">
        <f>Data!AU144</f>
        <v>0</v>
      </c>
      <c r="H20" s="403">
        <f>Data!AV144</f>
        <v>0</v>
      </c>
      <c r="I20" s="403">
        <f>Data!AW144</f>
        <v>0</v>
      </c>
      <c r="J20" s="403">
        <f>Data!AX144</f>
        <v>0</v>
      </c>
      <c r="K20" s="403">
        <f>Data!AY144</f>
        <v>0</v>
      </c>
      <c r="L20" s="403">
        <f>Data!AZ144</f>
        <v>0</v>
      </c>
      <c r="M20" s="403">
        <f>Data!BA144</f>
        <v>0</v>
      </c>
    </row>
    <row r="21" spans="1:13">
      <c r="A21" s="393" t="s">
        <v>639</v>
      </c>
      <c r="E21" s="403">
        <f>Data!AS145</f>
        <v>0</v>
      </c>
      <c r="F21" s="403">
        <f>Data!AT145</f>
        <v>0</v>
      </c>
      <c r="G21" s="403">
        <f>Data!AU145</f>
        <v>0</v>
      </c>
      <c r="H21" s="403">
        <f>Data!AV145</f>
        <v>0</v>
      </c>
      <c r="I21" s="403">
        <f>Data!AW145</f>
        <v>0</v>
      </c>
      <c r="J21" s="403">
        <f>Data!AX145</f>
        <v>0</v>
      </c>
      <c r="K21" s="403">
        <f>Data!AY145</f>
        <v>0</v>
      </c>
      <c r="L21" s="403">
        <f>Data!AZ145</f>
        <v>0</v>
      </c>
      <c r="M21" s="403">
        <f>Data!BA145</f>
        <v>0</v>
      </c>
    </row>
    <row r="22" spans="1:13">
      <c r="C22" t="s">
        <v>599</v>
      </c>
      <c r="E22" s="403">
        <f>Data!AS146</f>
        <v>0</v>
      </c>
      <c r="F22" s="403">
        <f>Data!AT146</f>
        <v>25107.42</v>
      </c>
      <c r="G22" s="403">
        <f>Data!AU146</f>
        <v>2435.89</v>
      </c>
      <c r="H22" s="403">
        <f>Data!AV146</f>
        <v>25107.42</v>
      </c>
      <c r="I22" s="403">
        <f>Data!AW146</f>
        <v>0</v>
      </c>
      <c r="J22" s="403">
        <f>Data!AX146</f>
        <v>2435.89</v>
      </c>
      <c r="K22" s="403">
        <f>Data!AY146</f>
        <v>25107.42</v>
      </c>
      <c r="L22" s="403">
        <f>Data!AZ146</f>
        <v>0</v>
      </c>
      <c r="M22" s="403">
        <f>Data!BA146</f>
        <v>2435.89</v>
      </c>
    </row>
    <row r="23" spans="1:13">
      <c r="B23" t="s">
        <v>633</v>
      </c>
      <c r="E23" s="404">
        <f>Data!AS147</f>
        <v>0</v>
      </c>
      <c r="F23" s="404">
        <f>Data!AT147</f>
        <v>25107.42</v>
      </c>
      <c r="G23" s="404">
        <f>Data!AU147</f>
        <v>2435.89</v>
      </c>
      <c r="H23" s="404">
        <f>Data!AV147</f>
        <v>25107.42</v>
      </c>
      <c r="I23" s="404">
        <f>Data!AW147</f>
        <v>0</v>
      </c>
      <c r="J23" s="404">
        <f>Data!AX147</f>
        <v>2435.89</v>
      </c>
      <c r="K23" s="404">
        <f>Data!AY147</f>
        <v>25107.42</v>
      </c>
      <c r="L23" s="404">
        <f>Data!AZ147</f>
        <v>0</v>
      </c>
      <c r="M23" s="404">
        <f>Data!BA147</f>
        <v>2435.89</v>
      </c>
    </row>
    <row r="24" spans="1:13">
      <c r="C24" t="s">
        <v>605</v>
      </c>
      <c r="E24" s="403">
        <f>Data!AS148</f>
        <v>0</v>
      </c>
      <c r="F24" s="403">
        <f>Data!AT148</f>
        <v>37147.879999999997</v>
      </c>
      <c r="G24" s="403">
        <f>Data!AU148</f>
        <v>3205.73</v>
      </c>
      <c r="H24" s="403">
        <f>Data!AV148</f>
        <v>37147.879999999997</v>
      </c>
      <c r="I24" s="403">
        <f>Data!AW148</f>
        <v>0</v>
      </c>
      <c r="J24" s="403">
        <f>Data!AX148</f>
        <v>3205.73</v>
      </c>
      <c r="K24" s="403">
        <f>Data!AY148</f>
        <v>37147.879999999997</v>
      </c>
      <c r="L24" s="403">
        <f>Data!AZ148</f>
        <v>0</v>
      </c>
      <c r="M24" s="403">
        <f>Data!BA148</f>
        <v>3205.73</v>
      </c>
    </row>
    <row r="25" spans="1:13">
      <c r="B25" t="s">
        <v>634</v>
      </c>
      <c r="E25" s="404">
        <f>Data!AS149</f>
        <v>0</v>
      </c>
      <c r="F25" s="404">
        <f>Data!AT149</f>
        <v>37147.879999999997</v>
      </c>
      <c r="G25" s="404">
        <f>Data!AU149</f>
        <v>3205.73</v>
      </c>
      <c r="H25" s="404">
        <f>Data!AV149</f>
        <v>37147.879999999997</v>
      </c>
      <c r="I25" s="404">
        <f>Data!AW149</f>
        <v>0</v>
      </c>
      <c r="J25" s="404">
        <f>Data!AX149</f>
        <v>3205.73</v>
      </c>
      <c r="K25" s="404">
        <f>Data!AY149</f>
        <v>37147.879999999997</v>
      </c>
      <c r="L25" s="404">
        <f>Data!AZ149</f>
        <v>0</v>
      </c>
      <c r="M25" s="404">
        <f>Data!BA149</f>
        <v>3205.73</v>
      </c>
    </row>
    <row r="26" spans="1:13">
      <c r="C26" t="s">
        <v>611</v>
      </c>
      <c r="E26" s="403">
        <f>Data!AS150</f>
        <v>0</v>
      </c>
      <c r="F26" s="403">
        <f>Data!AT150</f>
        <v>251124.88</v>
      </c>
      <c r="G26" s="403">
        <f>Data!AU150</f>
        <v>21967.399999999998</v>
      </c>
      <c r="H26" s="403">
        <f>Data!AV150</f>
        <v>251124.88</v>
      </c>
      <c r="I26" s="403">
        <f>Data!AW150</f>
        <v>0</v>
      </c>
      <c r="J26" s="403">
        <f>Data!AX150</f>
        <v>21967.399999999998</v>
      </c>
      <c r="K26" s="403">
        <f>Data!AY150</f>
        <v>251124.88</v>
      </c>
      <c r="L26" s="403">
        <f>Data!AZ150</f>
        <v>0</v>
      </c>
      <c r="M26" s="403">
        <f>Data!BA150</f>
        <v>21967.399999999998</v>
      </c>
    </row>
    <row r="27" spans="1:13">
      <c r="B27" t="s">
        <v>635</v>
      </c>
      <c r="E27" s="404">
        <f>Data!AS151</f>
        <v>0</v>
      </c>
      <c r="F27" s="404">
        <f>Data!AT151</f>
        <v>251124.88</v>
      </c>
      <c r="G27" s="404">
        <f>Data!AU151</f>
        <v>21967.399999999998</v>
      </c>
      <c r="H27" s="404">
        <f>Data!AV151</f>
        <v>251124.88</v>
      </c>
      <c r="I27" s="404">
        <f>Data!AW151</f>
        <v>0</v>
      </c>
      <c r="J27" s="404">
        <f>Data!AX151</f>
        <v>21967.399999999998</v>
      </c>
      <c r="K27" s="404">
        <f>Data!AY151</f>
        <v>251124.88</v>
      </c>
      <c r="L27" s="404">
        <f>Data!AZ151</f>
        <v>0</v>
      </c>
      <c r="M27" s="404">
        <f>Data!BA151</f>
        <v>21967.399999999998</v>
      </c>
    </row>
    <row r="28" spans="1:13">
      <c r="E28" s="403">
        <f>Data!AS152</f>
        <v>0</v>
      </c>
      <c r="F28" s="403">
        <f>Data!AT152</f>
        <v>0</v>
      </c>
      <c r="G28" s="403">
        <f>Data!AU152</f>
        <v>0</v>
      </c>
      <c r="H28" s="403">
        <f>Data!AV152</f>
        <v>0</v>
      </c>
      <c r="I28" s="403">
        <f>Data!AW152</f>
        <v>0</v>
      </c>
      <c r="J28" s="403">
        <f>Data!AX152</f>
        <v>0</v>
      </c>
      <c r="K28" s="403">
        <f>Data!AY152</f>
        <v>0</v>
      </c>
      <c r="L28" s="403">
        <f>Data!AZ152</f>
        <v>0</v>
      </c>
      <c r="M28" s="403">
        <f>Data!BA152</f>
        <v>0</v>
      </c>
    </row>
    <row r="29" spans="1:13">
      <c r="A29" s="397" t="s">
        <v>640</v>
      </c>
      <c r="E29" s="405">
        <f>Data!AS153</f>
        <v>0</v>
      </c>
      <c r="F29" s="405">
        <f>Data!AT153</f>
        <v>313380.18</v>
      </c>
      <c r="G29" s="405">
        <f>Data!AU153</f>
        <v>27609.019999999997</v>
      </c>
      <c r="H29" s="405">
        <f>Data!AV153</f>
        <v>313380.18</v>
      </c>
      <c r="I29" s="405">
        <f>Data!AW153</f>
        <v>0</v>
      </c>
      <c r="J29" s="405">
        <f>Data!AX153</f>
        <v>27609.019999999997</v>
      </c>
      <c r="K29" s="405">
        <f>Data!AY153</f>
        <v>313380.18</v>
      </c>
      <c r="L29" s="405">
        <f>Data!AZ153</f>
        <v>0</v>
      </c>
      <c r="M29" s="405">
        <f>Data!BA153</f>
        <v>27609.019999999997</v>
      </c>
    </row>
    <row r="30" spans="1:13">
      <c r="E30" s="403">
        <f>Data!AS154</f>
        <v>0</v>
      </c>
      <c r="F30" s="403">
        <f>Data!AT154</f>
        <v>0</v>
      </c>
      <c r="G30" s="403">
        <f>Data!AU154</f>
        <v>0</v>
      </c>
      <c r="H30" s="403">
        <f>Data!AV154</f>
        <v>0</v>
      </c>
      <c r="I30" s="403">
        <f>Data!AW154</f>
        <v>0</v>
      </c>
      <c r="J30" s="403">
        <f>Data!AX154</f>
        <v>0</v>
      </c>
      <c r="K30" s="403">
        <f>Data!AY154</f>
        <v>0</v>
      </c>
      <c r="L30" s="403">
        <f>Data!AZ154</f>
        <v>0</v>
      </c>
      <c r="M30" s="403">
        <f>Data!BA154</f>
        <v>0</v>
      </c>
    </row>
    <row r="31" spans="1:13">
      <c r="A31" s="398" t="s">
        <v>641</v>
      </c>
      <c r="E31" s="401">
        <f>Data!AS155</f>
        <v>46</v>
      </c>
      <c r="F31" s="402">
        <f>Data!AT155</f>
        <v>2912074.57</v>
      </c>
      <c r="G31" s="402">
        <f>Data!AU155</f>
        <v>1169485.3900000001</v>
      </c>
      <c r="H31" s="402">
        <f>Data!AV155</f>
        <v>2906370.5800000005</v>
      </c>
      <c r="I31" s="402">
        <f>Data!AW155</f>
        <v>575000</v>
      </c>
      <c r="J31" s="402">
        <f>Data!AX155</f>
        <v>587019.38164000004</v>
      </c>
      <c r="K31" s="402">
        <f>Data!AY155</f>
        <v>2906370.5800000005</v>
      </c>
      <c r="L31" s="402">
        <f>Data!AZ155</f>
        <v>632500</v>
      </c>
      <c r="M31" s="402">
        <f>Data!BA155</f>
        <v>563423.16899999999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Self-Governing Agencies&amp;R&amp;"Arial"&amp;10 Agency 522</oddHeader>
    <oddFooter>&amp;L&amp;"Arial"&amp;10 B6:Summary by Fund&amp;R&amp;"Arial"&amp;10 FY 2023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A433-259C-40BF-8BA2-8452873BADD2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595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522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596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606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597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604</v>
      </c>
      <c r="J5" s="412"/>
      <c r="K5" s="412"/>
      <c r="L5" s="411"/>
      <c r="M5" s="352" t="s">
        <v>113</v>
      </c>
      <c r="N5" s="32" t="s">
        <v>605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"&amp;'EDMA|0348-00'!FiscalYear-1&amp;" SALARY"</f>
        <v>FY 2023 SALARY</v>
      </c>
      <c r="H8" s="50" t="str">
        <f>"FY "&amp;'EDMA|0348-00'!FiscalYear-1&amp;" HEALTH BENEFITS"</f>
        <v>FY 2023 HEALTH BENEFITS</v>
      </c>
      <c r="I8" s="50" t="str">
        <f>"FY "&amp;'EDMA|0348-00'!FiscalYear-1&amp;" VAR BENEFITS"</f>
        <v>FY 2023 VAR BENEFITS</v>
      </c>
      <c r="J8" s="50" t="str">
        <f>"FY "&amp;'EDMA|0348-00'!FiscalYear-1&amp;" TOTAL"</f>
        <v>FY 2023 TOTAL</v>
      </c>
      <c r="K8" s="50" t="str">
        <f>"FY "&amp;'EDMA|0348-00'!FiscalYear&amp;" SALARY CHANGE"</f>
        <v>FY 2024 SALARY CHANGE</v>
      </c>
      <c r="L8" s="50" t="str">
        <f>"FY "&amp;'EDMA|0348-00'!FiscalYear&amp;" CHG HEALTH BENEFITS"</f>
        <v>FY 2024 CHG HEALTH BENEFITS</v>
      </c>
      <c r="M8" s="50" t="str">
        <f>"FY "&amp;'EDMA|0348-00'!FiscalYear&amp;"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[0]!EDMA034800col_INC_FTI</f>
        <v>9.5</v>
      </c>
      <c r="G10" s="218">
        <f>[0]!EDMA034800col_FTI_SALARY_PERM</f>
        <v>578754.79999999993</v>
      </c>
      <c r="H10" s="218">
        <f>[0]!EDMA034800col_HEALTH_PERM</f>
        <v>118750</v>
      </c>
      <c r="I10" s="218">
        <f>[0]!EDMA034800col_TOT_VB_PERM</f>
        <v>125081.45236599998</v>
      </c>
      <c r="J10" s="219">
        <f>SUM(G10:I10)</f>
        <v>822586.25236599986</v>
      </c>
      <c r="K10" s="219">
        <f>[0]!EDMA034800col_1_27TH_PP</f>
        <v>0</v>
      </c>
      <c r="L10" s="218">
        <f>[0]!EDMA034800col_HEALTH_PERM_CHG</f>
        <v>11875</v>
      </c>
      <c r="M10" s="218">
        <f>[0]!EDMA034800col_TOT_VB_PERM_CHG</f>
        <v>-5266.6686800000061</v>
      </c>
      <c r="N10" s="218">
        <f>SUM(L10:M10)</f>
        <v>6608.3313199999939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5800</v>
      </c>
      <c r="AB10" s="335">
        <f>ROUND(PermVarBen*CECPerm+(CECPerm*PermVarBenChg),-2)</f>
        <v>1200</v>
      </c>
      <c r="AC10" s="335">
        <f>SUM(AA10:AB10)</f>
        <v>7000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[0]!EDMA034800col_Group_Salary</f>
        <v>37147.879999999997</v>
      </c>
      <c r="H11" s="218">
        <v>0</v>
      </c>
      <c r="I11" s="218">
        <f>[0]!EDMA034800col_Group_Ben</f>
        <v>3205.73</v>
      </c>
      <c r="J11" s="219">
        <f>SUM(G11:I11)</f>
        <v>40353.61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400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[0]!EDMA034800col_TOTAL_ELECT_PCN_FTI</f>
        <v>0</v>
      </c>
      <c r="G12" s="218">
        <f>[0]!EDMA034800col_FTI_SALARY_ELECT</f>
        <v>0</v>
      </c>
      <c r="H12" s="218">
        <f>[0]!EDMA034800col_HEALTH_ELECT</f>
        <v>0</v>
      </c>
      <c r="I12" s="218">
        <f>[0]!EDMA034800col_TOT_VB_ELECT</f>
        <v>0</v>
      </c>
      <c r="J12" s="219">
        <f>SUM(G12:I12)</f>
        <v>0</v>
      </c>
      <c r="K12" s="268"/>
      <c r="L12" s="218">
        <f>[0]!EDMA034800col_HEALTH_ELECT_CHG</f>
        <v>0</v>
      </c>
      <c r="M12" s="218">
        <f>[0]!EDMA034800col_TOT_VB_ELECT_CHG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9.5</v>
      </c>
      <c r="G13" s="221">
        <f>SUM(G10:G12)</f>
        <v>615902.67999999993</v>
      </c>
      <c r="H13" s="221">
        <f>SUM(H10:H12)</f>
        <v>118750</v>
      </c>
      <c r="I13" s="221">
        <f>SUM(I10:I12)</f>
        <v>128287.18236599998</v>
      </c>
      <c r="J13" s="219">
        <f>SUM(G13:I13)</f>
        <v>862939.86236599996</v>
      </c>
      <c r="K13" s="268"/>
      <c r="L13" s="219">
        <f>SUM(L10:L12)</f>
        <v>11875</v>
      </c>
      <c r="M13" s="219">
        <f>SUM(M10:M12)</f>
        <v>-5266.6686800000061</v>
      </c>
      <c r="N13" s="219">
        <f>SUM(N10:N12)</f>
        <v>6608.3313199999939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"&amp;'EDMA|0348-00'!FiscalYear-1</f>
        <v>FY 2023</v>
      </c>
      <c r="D15" s="158" t="s">
        <v>31</v>
      </c>
      <c r="E15" s="355">
        <v>1091400</v>
      </c>
      <c r="F15" s="55">
        <v>10.8</v>
      </c>
      <c r="G15" s="223">
        <f>IF(OrigApprop=0,0,(G13/$J$13)*OrigApprop)</f>
        <v>778960.63708191563</v>
      </c>
      <c r="H15" s="223">
        <f>IF(OrigApprop=0,0,(H13/$J$13)*OrigApprop)</f>
        <v>150188.62339335412</v>
      </c>
      <c r="I15" s="223">
        <f>IF(G15=0,0,(I13/$J$13)*OrigApprop)</f>
        <v>162250.73952473019</v>
      </c>
      <c r="J15" s="223">
        <f>SUM(G15:I15)</f>
        <v>1091400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1.3000000000000007</v>
      </c>
      <c r="G16" s="162">
        <f>G15-G13</f>
        <v>163057.95708191569</v>
      </c>
      <c r="H16" s="162">
        <f>H15-H13</f>
        <v>31438.623393354123</v>
      </c>
      <c r="I16" s="162">
        <f>I15-I13</f>
        <v>33963.557158730211</v>
      </c>
      <c r="J16" s="162">
        <f>J15-J13</f>
        <v>228460.13763400004</v>
      </c>
      <c r="K16" s="269"/>
      <c r="L16" s="56" t="str">
        <f>IF('EDMA|0348-00'!OrigApprop=0,"No Original Appropriation amount in DU 3.00 for this fund","Calculated "&amp;IF('EDMA|0348-00'!AdjustedTotal&gt;0,"overfunding ","underfunding ")&amp;"is "&amp;TEXT('EDMA|0348-00'!AdjustedTotal/'EDMA|0348-00'!AppropTotal,"#.0%;(#.0% );0% ;")&amp;" of Original Appropriation")</f>
        <v>Calculated overfunding is 20.9%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9.5</v>
      </c>
      <c r="G38" s="191">
        <f>SUMIF($E10:$E35,$E38,$G10:$G35)</f>
        <v>578754.79999999993</v>
      </c>
      <c r="H38" s="192">
        <f>SUMIF($E10:$E35,$E38,$H10:$H35)</f>
        <v>118750</v>
      </c>
      <c r="I38" s="192">
        <f>SUMIF($E10:$E35,$E38,$I10:$I35)</f>
        <v>125081.45236599998</v>
      </c>
      <c r="J38" s="192">
        <f>SUM(G38:I38)</f>
        <v>822586.25236599986</v>
      </c>
      <c r="K38" s="166"/>
      <c r="L38" s="191">
        <f>SUMIF($E10:$E35,$E38,$L10:$L35)</f>
        <v>11875</v>
      </c>
      <c r="M38" s="192">
        <f>SUMIF($E10:$E35,$E38,$M10:$M35)</f>
        <v>-5266.6686800000061</v>
      </c>
      <c r="N38" s="192">
        <f>SUM(L38:M38)</f>
        <v>6608.3313199999939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5800</v>
      </c>
      <c r="AB38" s="338">
        <f>ROUND((AdjPermVB*CECPerm+AdjPermVBBY*CECPerm),-2)</f>
        <v>1200</v>
      </c>
      <c r="AC38" s="338">
        <f>SUM(AA38:AB38)</f>
        <v>7000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37147.879999999997</v>
      </c>
      <c r="H39" s="152">
        <f>SUMIF($E10:$E35,$E39,$H10:$H35)</f>
        <v>0</v>
      </c>
      <c r="I39" s="152">
        <f>SUMIF($E10:$E35,$E39,$I10:$I35)</f>
        <v>3205.73</v>
      </c>
      <c r="J39" s="152">
        <f>SUM(G39:I39)</f>
        <v>40353.61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400</v>
      </c>
      <c r="AB39" s="338">
        <f>ROUND(AdjGroupVB*CECGroup,-2)</f>
        <v>0</v>
      </c>
      <c r="AC39" s="338">
        <f>SUM(AA39:AB39)</f>
        <v>400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9.5</v>
      </c>
      <c r="G41" s="195">
        <f>SUM($G$38:$G$40)</f>
        <v>615902.67999999993</v>
      </c>
      <c r="H41" s="162">
        <f>SUM($H$38:$H$40)</f>
        <v>118750</v>
      </c>
      <c r="I41" s="162">
        <f>SUM($I$38:$I$40)</f>
        <v>128287.18236599998</v>
      </c>
      <c r="J41" s="162">
        <f>SUM($J$38:$J$40)</f>
        <v>862939.86236599984</v>
      </c>
      <c r="K41" s="259"/>
      <c r="L41" s="195">
        <f>SUM($L$38:$L$40)</f>
        <v>11875</v>
      </c>
      <c r="M41" s="162">
        <f>SUM($M$38:$M$40)</f>
        <v>-5266.6686800000061</v>
      </c>
      <c r="N41" s="162">
        <f>SUM(L41:M41)</f>
        <v>6608.3313199999939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1.3</v>
      </c>
      <c r="G43" s="206">
        <f>G51-G41</f>
        <v>163057.95708191581</v>
      </c>
      <c r="H43" s="159">
        <f>H51-H41</f>
        <v>31438.623393354152</v>
      </c>
      <c r="I43" s="159">
        <f>I51-I41</f>
        <v>33963.55715873024</v>
      </c>
      <c r="J43" s="159">
        <f>SUM(G43:I43)</f>
        <v>228460.13763400022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20.9%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1.3</v>
      </c>
      <c r="G44" s="206">
        <f>G60-G41</f>
        <v>163097.32000000007</v>
      </c>
      <c r="H44" s="159">
        <f>H60-H41</f>
        <v>31450</v>
      </c>
      <c r="I44" s="159">
        <f>I60-I41</f>
        <v>34012.817634000021</v>
      </c>
      <c r="J44" s="159">
        <f>SUM(G44:I44)</f>
        <v>228560.1376340001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20.9%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1.3</v>
      </c>
      <c r="G45" s="206">
        <f>G67-G41-G63</f>
        <v>163097.32000000007</v>
      </c>
      <c r="H45" s="206">
        <f>H67-H41-H63</f>
        <v>31450</v>
      </c>
      <c r="I45" s="206">
        <f>I67-I41-I63</f>
        <v>34012.817634000021</v>
      </c>
      <c r="J45" s="159">
        <f>SUM(G45:I45)</f>
        <v>228560.1376340001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20.9%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1091400</v>
      </c>
      <c r="F51" s="272">
        <f>AppropFTP</f>
        <v>10.8</v>
      </c>
      <c r="G51" s="274">
        <f>IF(E51=0,0,(G41/$J$41)*$E$51)</f>
        <v>778960.63708191575</v>
      </c>
      <c r="H51" s="274">
        <f>IF(E51=0,0,(H41/$J$41)*$E$51)</f>
        <v>150188.62339335415</v>
      </c>
      <c r="I51" s="275">
        <f>IF(E51=0,0,(I41/$J$41)*$E$51)</f>
        <v>162250.73952473022</v>
      </c>
      <c r="J51" s="90">
        <f>SUM(G51:I51)</f>
        <v>1091400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10.8</v>
      </c>
      <c r="G52" s="79">
        <f>ROUND(G51,-2)</f>
        <v>779000</v>
      </c>
      <c r="H52" s="79">
        <f>ROUND(H51,-2)</f>
        <v>150200</v>
      </c>
      <c r="I52" s="266">
        <f>ROUND(I51,-2)</f>
        <v>162300</v>
      </c>
      <c r="J52" s="80">
        <f>ROUND(J51,-2)</f>
        <v>1091400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10.8</v>
      </c>
      <c r="G56" s="80">
        <f>SUM(G52:G55)</f>
        <v>779000</v>
      </c>
      <c r="H56" s="80">
        <f>SUM(H52:H55)</f>
        <v>150200</v>
      </c>
      <c r="I56" s="260">
        <f>SUM(I52:I55)</f>
        <v>162300</v>
      </c>
      <c r="J56" s="80">
        <f>SUM(J52:J55)</f>
        <v>1091400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10.8</v>
      </c>
      <c r="G60" s="80">
        <f>SUM(G56:G59)</f>
        <v>779000</v>
      </c>
      <c r="H60" s="80">
        <f>SUM(H56:H59)</f>
        <v>150200</v>
      </c>
      <c r="I60" s="260">
        <f>SUM(I56:I59)</f>
        <v>162300</v>
      </c>
      <c r="J60" s="80">
        <f>SUM(J56:J59)</f>
        <v>1091400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10.8</v>
      </c>
      <c r="G67" s="80">
        <f>SUM(G60:G64)</f>
        <v>779000</v>
      </c>
      <c r="H67" s="80">
        <f>SUM(H60:H64)</f>
        <v>150200</v>
      </c>
      <c r="I67" s="80">
        <f>SUM(I60:I64)</f>
        <v>162300</v>
      </c>
      <c r="J67" s="80">
        <f>SUM(J60:J64)</f>
        <v>1091400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11900</v>
      </c>
      <c r="I68" s="113"/>
      <c r="J68" s="287">
        <f>SUM(G68:I68)</f>
        <v>11900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-5300</v>
      </c>
      <c r="J69" s="287">
        <f>SUM(G69:I69)</f>
        <v>-5300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5800</v>
      </c>
      <c r="H72" s="287"/>
      <c r="I72" s="287">
        <f>ROUND(($G72*PermVBBY+$G72*Retire1BY),-2)</f>
        <v>1200</v>
      </c>
      <c r="J72" s="113">
        <f>SUM(G72:I72)</f>
        <v>7000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400</v>
      </c>
      <c r="H73" s="287"/>
      <c r="I73" s="287">
        <f>ROUND(($G73*GroupVBBY),-2)</f>
        <v>0</v>
      </c>
      <c r="J73" s="113">
        <f t="shared" si="11"/>
        <v>400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10.8</v>
      </c>
      <c r="G75" s="80">
        <f>SUM(G67:G74)</f>
        <v>785200</v>
      </c>
      <c r="H75" s="80">
        <f>SUM(H67:H74)</f>
        <v>162100</v>
      </c>
      <c r="I75" s="80">
        <f>SUM(I67:I74)</f>
        <v>158200</v>
      </c>
      <c r="J75" s="80">
        <f>SUM(J67:K74)</f>
        <v>1105400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10.8</v>
      </c>
      <c r="G80" s="80">
        <f>SUM(G75:G79)</f>
        <v>785200</v>
      </c>
      <c r="H80" s="80">
        <f>SUM(H75:H79)</f>
        <v>162100</v>
      </c>
      <c r="I80" s="80">
        <f>SUM(I75:I79)</f>
        <v>158200</v>
      </c>
      <c r="J80" s="80">
        <f>SUM(J75:J79)</f>
        <v>1105400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44" priority="8">
      <formula>$J$44&lt;0</formula>
    </cfRule>
  </conditionalFormatting>
  <conditionalFormatting sqref="K43">
    <cfRule type="expression" dxfId="43" priority="7">
      <formula>$J$43&lt;0</formula>
    </cfRule>
  </conditionalFormatting>
  <conditionalFormatting sqref="L16">
    <cfRule type="expression" dxfId="42" priority="6">
      <formula>$J$16&lt;0</formula>
    </cfRule>
  </conditionalFormatting>
  <conditionalFormatting sqref="K45">
    <cfRule type="expression" dxfId="41" priority="5">
      <formula>$J$44&lt;0</formula>
    </cfRule>
  </conditionalFormatting>
  <conditionalFormatting sqref="K43:N45">
    <cfRule type="containsText" dxfId="40" priority="4" operator="containsText" text="underfunding">
      <formula>NOT(ISERROR(SEARCH("underfunding",K43)))</formula>
    </cfRule>
  </conditionalFormatting>
  <conditionalFormatting sqref="K44">
    <cfRule type="expression" dxfId="39" priority="3">
      <formula>$J$44&lt;0</formula>
    </cfRule>
  </conditionalFormatting>
  <conditionalFormatting sqref="K45">
    <cfRule type="expression" dxfId="38" priority="2">
      <formula>$J$44&lt;0</formula>
    </cfRule>
  </conditionalFormatting>
  <conditionalFormatting sqref="K45">
    <cfRule type="expression" dxfId="3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4B1CD2-E1CA-4897-87D7-DC7605C999B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30BA-1D35-4B31-A239-DC567275A718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595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522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596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612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597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610</v>
      </c>
      <c r="J5" s="412"/>
      <c r="K5" s="412"/>
      <c r="L5" s="411"/>
      <c r="M5" s="352" t="s">
        <v>113</v>
      </c>
      <c r="N5" s="32" t="s">
        <v>611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"&amp;'EDMA|0349-00'!FiscalYear-1&amp;" SALARY"</f>
        <v>FY 2023 SALARY</v>
      </c>
      <c r="H8" s="50" t="str">
        <f>"FY "&amp;'EDMA|0349-00'!FiscalYear-1&amp;" HEALTH BENEFITS"</f>
        <v>FY 2023 HEALTH BENEFITS</v>
      </c>
      <c r="I8" s="50" t="str">
        <f>"FY "&amp;'EDMA|0349-00'!FiscalYear-1&amp;" VAR BENEFITS"</f>
        <v>FY 2023 VAR BENEFITS</v>
      </c>
      <c r="J8" s="50" t="str">
        <f>"FY "&amp;'EDMA|0349-00'!FiscalYear-1&amp;" TOTAL"</f>
        <v>FY 2023 TOTAL</v>
      </c>
      <c r="K8" s="50" t="str">
        <f>"FY "&amp;'EDMA|0349-00'!FiscalYear&amp;" SALARY CHANGE"</f>
        <v>FY 2024 SALARY CHANGE</v>
      </c>
      <c r="L8" s="50" t="str">
        <f>"FY "&amp;'EDMA|0349-00'!FiscalYear&amp;" CHG HEALTH BENEFITS"</f>
        <v>FY 2024 CHG HEALTH BENEFITS</v>
      </c>
      <c r="M8" s="50" t="str">
        <f>"FY "&amp;'EDMA|0349-00'!FiscalYear&amp;"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[0]!EDMA034900col_INC_FTI</f>
        <v>7</v>
      </c>
      <c r="G10" s="218">
        <f>[0]!EDMA034900col_FTI_SALARY_PERM</f>
        <v>320840</v>
      </c>
      <c r="H10" s="218">
        <f>[0]!EDMA034900col_HEALTH_PERM</f>
        <v>87500</v>
      </c>
      <c r="I10" s="218">
        <f>[0]!EDMA034900col_TOT_VB_PERM</f>
        <v>69380.045800000007</v>
      </c>
      <c r="J10" s="219">
        <f>SUM(G10:I10)</f>
        <v>477720.04580000002</v>
      </c>
      <c r="K10" s="219">
        <f>[0]!EDMA034900col_1_27TH_PP</f>
        <v>0</v>
      </c>
      <c r="L10" s="218">
        <f>[0]!EDMA034900col_HEALTH_PERM_CHG</f>
        <v>8750</v>
      </c>
      <c r="M10" s="218">
        <f>[0]!EDMA034900col_TOT_VB_PERM_CHG</f>
        <v>-2919.6440000000025</v>
      </c>
      <c r="N10" s="218">
        <f>SUM(L10:M10)</f>
        <v>5830.3559999999979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3200</v>
      </c>
      <c r="AB10" s="335">
        <f>ROUND(PermVarBen*CECPerm+(CECPerm*PermVarBenChg),-2)</f>
        <v>700</v>
      </c>
      <c r="AC10" s="335">
        <f>SUM(AA10:AB10)</f>
        <v>3900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[0]!EDMA034900col_Group_Salary</f>
        <v>251124.88</v>
      </c>
      <c r="H11" s="218">
        <v>0</v>
      </c>
      <c r="I11" s="218">
        <f>[0]!EDMA034900col_Group_Ben</f>
        <v>21967.399999999998</v>
      </c>
      <c r="J11" s="219">
        <f>SUM(G11:I11)</f>
        <v>273092.28000000003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2500</v>
      </c>
      <c r="AB11" s="335">
        <f>ROUND((GroupSalary*GroupVBBY)*CECGroup,-2)</f>
        <v>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[0]!EDMA034900col_TOTAL_ELECT_PCN_FTI</f>
        <v>0</v>
      </c>
      <c r="G12" s="218">
        <f>[0]!EDMA034900col_FTI_SALARY_ELECT</f>
        <v>0</v>
      </c>
      <c r="H12" s="218">
        <f>[0]!EDMA034900col_HEALTH_ELECT</f>
        <v>0</v>
      </c>
      <c r="I12" s="218">
        <f>[0]!EDMA034900col_TOT_VB_ELECT</f>
        <v>0</v>
      </c>
      <c r="J12" s="219">
        <f>SUM(G12:I12)</f>
        <v>0</v>
      </c>
      <c r="K12" s="268"/>
      <c r="L12" s="218">
        <f>[0]!EDMA034900col_HEALTH_ELECT_CHG</f>
        <v>0</v>
      </c>
      <c r="M12" s="218">
        <f>[0]!EDMA034900col_TOT_VB_ELECT_CHG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7</v>
      </c>
      <c r="G13" s="221">
        <f>SUM(G10:G12)</f>
        <v>571964.88</v>
      </c>
      <c r="H13" s="221">
        <f>SUM(H10:H12)</f>
        <v>87500</v>
      </c>
      <c r="I13" s="221">
        <f>SUM(I10:I12)</f>
        <v>91347.445800000001</v>
      </c>
      <c r="J13" s="219">
        <f>SUM(G13:I13)</f>
        <v>750812.32579999999</v>
      </c>
      <c r="K13" s="268"/>
      <c r="L13" s="219">
        <f>SUM(L10:L12)</f>
        <v>8750</v>
      </c>
      <c r="M13" s="219">
        <f>SUM(M10:M12)</f>
        <v>-2919.6440000000025</v>
      </c>
      <c r="N13" s="219">
        <f>SUM(N10:N12)</f>
        <v>5830.3559999999979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"&amp;'EDMA|0349-00'!FiscalYear-1</f>
        <v>FY 2023</v>
      </c>
      <c r="D15" s="158" t="s">
        <v>31</v>
      </c>
      <c r="E15" s="355">
        <v>1037500</v>
      </c>
      <c r="F15" s="55">
        <v>12.4</v>
      </c>
      <c r="G15" s="223">
        <f>IF(OrigApprop=0,0,(G13/$J$13)*OrigApprop)</f>
        <v>790362.04202922527</v>
      </c>
      <c r="H15" s="223">
        <f>IF(OrigApprop=0,0,(H13/$J$13)*OrigApprop)</f>
        <v>120910.7081496983</v>
      </c>
      <c r="I15" s="223">
        <f>IF(G15=0,0,(I13/$J$13)*OrigApprop)</f>
        <v>126227.2498210764</v>
      </c>
      <c r="J15" s="223">
        <f>SUM(G15:I15)</f>
        <v>1037500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5.4</v>
      </c>
      <c r="G16" s="162">
        <f>G15-G13</f>
        <v>218397.16202922526</v>
      </c>
      <c r="H16" s="162">
        <f>H15-H13</f>
        <v>33410.708149698301</v>
      </c>
      <c r="I16" s="162">
        <f>I15-I13</f>
        <v>34879.804021076401</v>
      </c>
      <c r="J16" s="162">
        <f>J15-J13</f>
        <v>286687.67420000001</v>
      </c>
      <c r="K16" s="269"/>
      <c r="L16" s="56" t="str">
        <f>IF('EDMA|0349-00'!OrigApprop=0,"No Original Appropriation amount in DU 3.00 for this fund","Calculated "&amp;IF('EDMA|0349-00'!AdjustedTotal&gt;0,"overfunding ","underfunding ")&amp;"is "&amp;TEXT('EDMA|0349-00'!AdjustedTotal/'EDMA|0349-00'!AppropTotal,"#.0%;(#.0% );0% ;")&amp;" of Original Appropriation")</f>
        <v>Calculated overfunding is 27.6%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7</v>
      </c>
      <c r="G38" s="191">
        <f>SUMIF($E10:$E35,$E38,$G10:$G35)</f>
        <v>320840</v>
      </c>
      <c r="H38" s="192">
        <f>SUMIF($E10:$E35,$E38,$H10:$H35)</f>
        <v>87500</v>
      </c>
      <c r="I38" s="192">
        <f>SUMIF($E10:$E35,$E38,$I10:$I35)</f>
        <v>69380.045800000007</v>
      </c>
      <c r="J38" s="192">
        <f>SUM(G38:I38)</f>
        <v>477720.04580000002</v>
      </c>
      <c r="K38" s="166"/>
      <c r="L38" s="191">
        <f>SUMIF($E10:$E35,$E38,$L10:$L35)</f>
        <v>8750</v>
      </c>
      <c r="M38" s="192">
        <f>SUMIF($E10:$E35,$E38,$M10:$M35)</f>
        <v>-2919.6440000000025</v>
      </c>
      <c r="N38" s="192">
        <f>SUM(L38:M38)</f>
        <v>5830.3559999999979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3200</v>
      </c>
      <c r="AB38" s="338">
        <f>ROUND((AdjPermVB*CECPerm+AdjPermVBBY*CECPerm),-2)</f>
        <v>700</v>
      </c>
      <c r="AC38" s="338">
        <f>SUM(AA38:AB38)</f>
        <v>3900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251124.88</v>
      </c>
      <c r="H39" s="152">
        <f>SUMIF($E10:$E35,$E39,$H10:$H35)</f>
        <v>0</v>
      </c>
      <c r="I39" s="152">
        <f>SUMIF($E10:$E35,$E39,$I10:$I35)</f>
        <v>21967.399999999998</v>
      </c>
      <c r="J39" s="152">
        <f>SUM(G39:I39)</f>
        <v>273092.28000000003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2500</v>
      </c>
      <c r="AB39" s="338">
        <f>ROUND(AdjGroupVB*CECGroup,-2)</f>
        <v>200</v>
      </c>
      <c r="AC39" s="338">
        <f>SUM(AA39:AB39)</f>
        <v>2700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7</v>
      </c>
      <c r="G41" s="195">
        <f>SUM($G$38:$G$40)</f>
        <v>571964.88</v>
      </c>
      <c r="H41" s="162">
        <f>SUM($H$38:$H$40)</f>
        <v>87500</v>
      </c>
      <c r="I41" s="162">
        <f>SUM($I$38:$I$40)</f>
        <v>91347.445800000001</v>
      </c>
      <c r="J41" s="162">
        <f>SUM($J$38:$J$40)</f>
        <v>750812.32579999999</v>
      </c>
      <c r="K41" s="259"/>
      <c r="L41" s="195">
        <f>SUM($L$38:$L$40)</f>
        <v>8750</v>
      </c>
      <c r="M41" s="162">
        <f>SUM($M$38:$M$40)</f>
        <v>-2919.6440000000025</v>
      </c>
      <c r="N41" s="162">
        <f>SUM(L41:M41)</f>
        <v>5830.3559999999979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5.4</v>
      </c>
      <c r="G43" s="206">
        <f>G51-G41</f>
        <v>218397.16202922526</v>
      </c>
      <c r="H43" s="159">
        <f>H51-H41</f>
        <v>33410.708149698301</v>
      </c>
      <c r="I43" s="159">
        <f>I51-I41</f>
        <v>34879.804021076401</v>
      </c>
      <c r="J43" s="159">
        <f>SUM(G43:I43)</f>
        <v>286687.67419999995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27.6%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5.4</v>
      </c>
      <c r="G44" s="206">
        <f>G60-G41</f>
        <v>218435.12</v>
      </c>
      <c r="H44" s="159">
        <f>H60-H41</f>
        <v>33400</v>
      </c>
      <c r="I44" s="159">
        <f>I60-I41</f>
        <v>34852.554199999999</v>
      </c>
      <c r="J44" s="159">
        <f>SUM(G44:I44)</f>
        <v>286687.67420000001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27.6%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5.4</v>
      </c>
      <c r="G45" s="206">
        <f>G67-G41-G63</f>
        <v>218435.12</v>
      </c>
      <c r="H45" s="206">
        <f>H67-H41-H63</f>
        <v>33400</v>
      </c>
      <c r="I45" s="206">
        <f>I67-I41-I63</f>
        <v>34852.554199999999</v>
      </c>
      <c r="J45" s="159">
        <f>SUM(G45:I45)</f>
        <v>286687.67420000001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27.6%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1037500</v>
      </c>
      <c r="F51" s="272">
        <f>AppropFTP</f>
        <v>12.4</v>
      </c>
      <c r="G51" s="274">
        <f>IF(E51=0,0,(G41/$J$41)*$E$51)</f>
        <v>790362.04202922527</v>
      </c>
      <c r="H51" s="274">
        <f>IF(E51=0,0,(H41/$J$41)*$E$51)</f>
        <v>120910.7081496983</v>
      </c>
      <c r="I51" s="275">
        <f>IF(E51=0,0,(I41/$J$41)*$E$51)</f>
        <v>126227.2498210764</v>
      </c>
      <c r="J51" s="90">
        <f>SUM(G51:I51)</f>
        <v>1037500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12.4</v>
      </c>
      <c r="G52" s="79">
        <f>ROUND(G51,-2)</f>
        <v>790400</v>
      </c>
      <c r="H52" s="79">
        <f>ROUND(H51,-2)</f>
        <v>120900</v>
      </c>
      <c r="I52" s="266">
        <f>ROUND(I51,-2)</f>
        <v>126200</v>
      </c>
      <c r="J52" s="80">
        <f>ROUND(J51,-2)</f>
        <v>1037500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12.4</v>
      </c>
      <c r="G56" s="80">
        <f>SUM(G52:G55)</f>
        <v>790400</v>
      </c>
      <c r="H56" s="80">
        <f>SUM(H52:H55)</f>
        <v>120900</v>
      </c>
      <c r="I56" s="260">
        <f>SUM(I52:I55)</f>
        <v>126200</v>
      </c>
      <c r="J56" s="80">
        <f>SUM(J52:J55)</f>
        <v>1037500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12.4</v>
      </c>
      <c r="G60" s="80">
        <f>SUM(G56:G59)</f>
        <v>790400</v>
      </c>
      <c r="H60" s="80">
        <f>SUM(H56:H59)</f>
        <v>120900</v>
      </c>
      <c r="I60" s="260">
        <f>SUM(I56:I59)</f>
        <v>126200</v>
      </c>
      <c r="J60" s="80">
        <f>SUM(J56:J59)</f>
        <v>1037500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12.4</v>
      </c>
      <c r="G67" s="80">
        <f>SUM(G60:G64)</f>
        <v>790400</v>
      </c>
      <c r="H67" s="80">
        <f>SUM(H60:H64)</f>
        <v>120900</v>
      </c>
      <c r="I67" s="80">
        <f>SUM(I60:I64)</f>
        <v>126200</v>
      </c>
      <c r="J67" s="80">
        <f>SUM(J60:J64)</f>
        <v>1037500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8800</v>
      </c>
      <c r="I68" s="113"/>
      <c r="J68" s="287">
        <f>SUM(G68:I68)</f>
        <v>8800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-2900</v>
      </c>
      <c r="J69" s="287">
        <f>SUM(G69:I69)</f>
        <v>-2900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3200</v>
      </c>
      <c r="H72" s="287"/>
      <c r="I72" s="287">
        <f>ROUND(($G72*PermVBBY+$G72*Retire1BY),-2)</f>
        <v>700</v>
      </c>
      <c r="J72" s="113">
        <f>SUM(G72:I72)</f>
        <v>3900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2500</v>
      </c>
      <c r="H73" s="287"/>
      <c r="I73" s="287">
        <f>ROUND(($G73*GroupVBBY),-2)</f>
        <v>200</v>
      </c>
      <c r="J73" s="113">
        <f t="shared" si="11"/>
        <v>2700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12.4</v>
      </c>
      <c r="G75" s="80">
        <f>SUM(G67:G74)</f>
        <v>796100</v>
      </c>
      <c r="H75" s="80">
        <f>SUM(H67:H74)</f>
        <v>129700</v>
      </c>
      <c r="I75" s="80">
        <f>SUM(I67:I74)</f>
        <v>124200</v>
      </c>
      <c r="J75" s="80">
        <f>SUM(J67:K74)</f>
        <v>1050000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12.4</v>
      </c>
      <c r="G80" s="80">
        <f>SUM(G75:G79)</f>
        <v>796100</v>
      </c>
      <c r="H80" s="80">
        <f>SUM(H75:H79)</f>
        <v>129700</v>
      </c>
      <c r="I80" s="80">
        <f>SUM(I75:I79)</f>
        <v>124200</v>
      </c>
      <c r="J80" s="80">
        <f>SUM(J75:J79)</f>
        <v>1050000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6" priority="8">
      <formula>$J$44&lt;0</formula>
    </cfRule>
  </conditionalFormatting>
  <conditionalFormatting sqref="K43">
    <cfRule type="expression" dxfId="35" priority="7">
      <formula>$J$43&lt;0</formula>
    </cfRule>
  </conditionalFormatting>
  <conditionalFormatting sqref="L16">
    <cfRule type="expression" dxfId="34" priority="6">
      <formula>$J$16&lt;0</formula>
    </cfRule>
  </conditionalFormatting>
  <conditionalFormatting sqref="K45">
    <cfRule type="expression" dxfId="33" priority="5">
      <formula>$J$44&lt;0</formula>
    </cfRule>
  </conditionalFormatting>
  <conditionalFormatting sqref="K43:N45">
    <cfRule type="containsText" dxfId="32" priority="4" operator="containsText" text="underfunding">
      <formula>NOT(ISERROR(SEARCH("underfunding",K43)))</formula>
    </cfRule>
  </conditionalFormatting>
  <conditionalFormatting sqref="K44">
    <cfRule type="expression" dxfId="31" priority="3">
      <formula>$J$44&lt;0</formula>
    </cfRule>
  </conditionalFormatting>
  <conditionalFormatting sqref="K45">
    <cfRule type="expression" dxfId="30" priority="2">
      <formula>$J$44&lt;0</formula>
    </cfRule>
  </conditionalFormatting>
  <conditionalFormatting sqref="K45">
    <cfRule type="expression" dxfId="2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CA021-4E4C-4DC7-B436-F3803C29CA9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0ED1-2E2C-4424-832A-AB9BB5107DD2}">
  <sheetPr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595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522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596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618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597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168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616</v>
      </c>
      <c r="J5" s="412"/>
      <c r="K5" s="412"/>
      <c r="L5" s="411"/>
      <c r="M5" s="352" t="s">
        <v>113</v>
      </c>
      <c r="N5" s="32" t="s">
        <v>617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"&amp;'EDMA|0481-09'!FiscalYear-1&amp;" SALARY"</f>
        <v>FY 2023 SALARY</v>
      </c>
      <c r="H8" s="50" t="str">
        <f>"FY "&amp;'EDMA|0481-09'!FiscalYear-1&amp;" HEALTH BENEFITS"</f>
        <v>FY 2023 HEALTH BENEFITS</v>
      </c>
      <c r="I8" s="50" t="str">
        <f>"FY "&amp;'EDMA|0481-09'!FiscalYear-1&amp;" VAR BENEFITS"</f>
        <v>FY 2023 VAR BENEFITS</v>
      </c>
      <c r="J8" s="50" t="str">
        <f>"FY "&amp;'EDMA|0481-09'!FiscalYear-1&amp;" TOTAL"</f>
        <v>FY 2023 TOTAL</v>
      </c>
      <c r="K8" s="50" t="str">
        <f>"FY "&amp;'EDMA|0481-09'!FiscalYear&amp;" SALARY CHANGE"</f>
        <v>FY 2024 SALARY CHANGE</v>
      </c>
      <c r="L8" s="50" t="str">
        <f>"FY "&amp;'EDMA|0481-09'!FiscalYear&amp;" CHG HEALTH BENEFITS"</f>
        <v>FY 2024 CHG HEALTH BENEFITS</v>
      </c>
      <c r="M8" s="50" t="str">
        <f>"FY "&amp;'EDMA|0481-09'!FiscalYear&amp;"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[0]!EDMA048109col_INC_FTI</f>
        <v>1</v>
      </c>
      <c r="G10" s="218">
        <f>[0]!EDMA048109col_FTI_SALARY_PERM</f>
        <v>54121.599999999999</v>
      </c>
      <c r="H10" s="218">
        <f>[0]!EDMA048109col_HEALTH_PERM</f>
        <v>12500</v>
      </c>
      <c r="I10" s="218">
        <f>[0]!EDMA048109col_TOT_VB_PERM</f>
        <v>11703.525392000001</v>
      </c>
      <c r="J10" s="219">
        <f>SUM(G10:I10)</f>
        <v>78325.125392000002</v>
      </c>
      <c r="K10" s="219">
        <f>[0]!EDMA048109col_1_27TH_PP</f>
        <v>0</v>
      </c>
      <c r="L10" s="218">
        <f>[0]!EDMA048109col_HEALTH_PERM_CHG</f>
        <v>1250</v>
      </c>
      <c r="M10" s="218">
        <f>[0]!EDMA048109col_TOT_VB_PERM_CHG</f>
        <v>-492.50656000000049</v>
      </c>
      <c r="N10" s="218">
        <f>SUM(L10:M10)</f>
        <v>757.49343999999951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[0]!EDMA048109col_Group_Salary</f>
        <v>0</v>
      </c>
      <c r="H11" s="218">
        <v>0</v>
      </c>
      <c r="I11" s="218">
        <f>[0]!EDMA048109col_Group_Ben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[0]!EDMA048109col_TOTAL_ELECT_PCN_FTI</f>
        <v>0</v>
      </c>
      <c r="G12" s="218">
        <f>[0]!EDMA048109col_FTI_SALARY_ELECT</f>
        <v>0</v>
      </c>
      <c r="H12" s="218">
        <f>[0]!EDMA048109col_HEALTH_ELECT</f>
        <v>0</v>
      </c>
      <c r="I12" s="218">
        <f>[0]!EDMA048109col_TOT_VB_ELECT</f>
        <v>0</v>
      </c>
      <c r="J12" s="219">
        <f>SUM(G12:I12)</f>
        <v>0</v>
      </c>
      <c r="K12" s="268"/>
      <c r="L12" s="218">
        <f>[0]!EDMA048109col_HEALTH_ELECT_CHG</f>
        <v>0</v>
      </c>
      <c r="M12" s="218">
        <f>[0]!EDMA048109col_TOT_VB_ELECT_CHG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1</v>
      </c>
      <c r="G13" s="221">
        <f>SUM(G10:G12)</f>
        <v>54121.599999999999</v>
      </c>
      <c r="H13" s="221">
        <f>SUM(H10:H12)</f>
        <v>12500</v>
      </c>
      <c r="I13" s="221">
        <f>SUM(I10:I12)</f>
        <v>11703.525392000001</v>
      </c>
      <c r="J13" s="219">
        <f>SUM(G13:I13)</f>
        <v>78325.125392000002</v>
      </c>
      <c r="K13" s="268"/>
      <c r="L13" s="219">
        <f>SUM(L10:L12)</f>
        <v>1250</v>
      </c>
      <c r="M13" s="219">
        <f>SUM(M10:M12)</f>
        <v>-492.50656000000049</v>
      </c>
      <c r="N13" s="219">
        <f>SUM(N10:N12)</f>
        <v>757.49343999999951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"&amp;'EDMA|0481-09'!FiscalYear-1</f>
        <v>FY 2023</v>
      </c>
      <c r="D15" s="158" t="s">
        <v>31</v>
      </c>
      <c r="E15" s="355">
        <v>78700</v>
      </c>
      <c r="F15" s="55">
        <v>1</v>
      </c>
      <c r="G15" s="223">
        <f>IF(OrigApprop=0,0,(G13/$J$13)*OrigApprop)</f>
        <v>54380.633272947751</v>
      </c>
      <c r="H15" s="223">
        <f>IF(OrigApprop=0,0,(H13/$J$13)*OrigApprop)</f>
        <v>12559.826684943662</v>
      </c>
      <c r="I15" s="223">
        <f>IF(G15=0,0,(I13/$J$13)*OrigApprop)</f>
        <v>11759.540042108587</v>
      </c>
      <c r="J15" s="223">
        <f>SUM(G15:I15)</f>
        <v>78700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259.03327294775227</v>
      </c>
      <c r="H16" s="162">
        <f>H15-H13</f>
        <v>59.826684943662258</v>
      </c>
      <c r="I16" s="162">
        <f>I15-I13</f>
        <v>56.014650108585556</v>
      </c>
      <c r="J16" s="162">
        <f>J15-J13</f>
        <v>374.87460799999826</v>
      </c>
      <c r="K16" s="269"/>
      <c r="L16" s="56" t="str">
        <f>IF('EDMA|0481-09'!OrigApprop=0,"No Original Appropriation amount in DU 3.00 for this fund","Calculated "&amp;IF('EDMA|0481-09'!AdjustedTotal&gt;0,"overfunding ","underfunding ")&amp;"is "&amp;TEXT('EDMA|0481-09'!AdjustedTotal/'EDMA|0481-09'!AppropTotal,"#.0%;(#.0% );0% ;")&amp;" of Original Appropriation")</f>
        <v>Calculated overfunding is 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1</v>
      </c>
      <c r="G38" s="191">
        <f>SUMIF($E10:$E35,$E38,$G10:$G35)</f>
        <v>54121.599999999999</v>
      </c>
      <c r="H38" s="192">
        <f>SUMIF($E10:$E35,$E38,$H10:$H35)</f>
        <v>12500</v>
      </c>
      <c r="I38" s="192">
        <f>SUMIF($E10:$E35,$E38,$I10:$I35)</f>
        <v>11703.525392000001</v>
      </c>
      <c r="J38" s="192">
        <f>SUM(G38:I38)</f>
        <v>78325.125392000002</v>
      </c>
      <c r="K38" s="166"/>
      <c r="L38" s="191">
        <f>SUMIF($E10:$E35,$E38,$L10:$L35)</f>
        <v>1250</v>
      </c>
      <c r="M38" s="192">
        <f>SUMIF($E10:$E35,$E38,$M10:$M35)</f>
        <v>-492.50656000000049</v>
      </c>
      <c r="N38" s="192">
        <f>SUM(L38:M38)</f>
        <v>757.49343999999951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1</v>
      </c>
      <c r="G41" s="195">
        <f>SUM($G$38:$G$40)</f>
        <v>54121.599999999999</v>
      </c>
      <c r="H41" s="162">
        <f>SUM($H$38:$H$40)</f>
        <v>12500</v>
      </c>
      <c r="I41" s="162">
        <f>SUM($I$38:$I$40)</f>
        <v>11703.525392000001</v>
      </c>
      <c r="J41" s="162">
        <f>SUM($J$38:$J$40)</f>
        <v>78325.125392000002</v>
      </c>
      <c r="K41" s="259"/>
      <c r="L41" s="195">
        <f>SUM($L$38:$L$40)</f>
        <v>1250</v>
      </c>
      <c r="M41" s="162">
        <f>SUM($M$38:$M$40)</f>
        <v>-492.50656000000049</v>
      </c>
      <c r="N41" s="162">
        <f>SUM(L41:M41)</f>
        <v>757.49343999999951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259.03327294775227</v>
      </c>
      <c r="H43" s="159">
        <f>H51-H41</f>
        <v>59.826684943662258</v>
      </c>
      <c r="I43" s="159">
        <f>I51-I41</f>
        <v>56.014650108585556</v>
      </c>
      <c r="J43" s="159">
        <f>SUM(G43:I43)</f>
        <v>374.87460800000008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.5%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278.40000000000146</v>
      </c>
      <c r="H44" s="159">
        <f>H60-H41</f>
        <v>100</v>
      </c>
      <c r="I44" s="159">
        <f>I60-I41</f>
        <v>96.474607999998625</v>
      </c>
      <c r="J44" s="159">
        <f>SUM(G44:I44)</f>
        <v>474.87460800000008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.6%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278.40000000000146</v>
      </c>
      <c r="H45" s="206">
        <f>H67-H41-H63</f>
        <v>100</v>
      </c>
      <c r="I45" s="206">
        <f>I67-I41-I63</f>
        <v>96.474607999998625</v>
      </c>
      <c r="J45" s="159">
        <f>SUM(G45:I45)</f>
        <v>474.87460800000008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.6%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78700</v>
      </c>
      <c r="F51" s="272">
        <f>AppropFTP</f>
        <v>1</v>
      </c>
      <c r="G51" s="274">
        <f>IF(E51=0,0,(G41/$J$41)*$E$51)</f>
        <v>54380.633272947751</v>
      </c>
      <c r="H51" s="274">
        <f>IF(E51=0,0,(H41/$J$41)*$E$51)</f>
        <v>12559.826684943662</v>
      </c>
      <c r="I51" s="275">
        <f>IF(E51=0,0,(I41/$J$41)*$E$51)</f>
        <v>11759.540042108587</v>
      </c>
      <c r="J51" s="90">
        <f>SUM(G51:I51)</f>
        <v>78700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54400</v>
      </c>
      <c r="H52" s="79">
        <f>ROUND(H51,-2)</f>
        <v>12600</v>
      </c>
      <c r="I52" s="266">
        <f>ROUND(I51,-2)</f>
        <v>11800</v>
      </c>
      <c r="J52" s="80">
        <f>ROUND(J51,-2)</f>
        <v>78700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</v>
      </c>
      <c r="G56" s="80">
        <f>SUM(G52:G55)</f>
        <v>54400</v>
      </c>
      <c r="H56" s="80">
        <f>SUM(H52:H55)</f>
        <v>12600</v>
      </c>
      <c r="I56" s="260">
        <f>SUM(I52:I55)</f>
        <v>11800</v>
      </c>
      <c r="J56" s="80">
        <f>SUM(J52:J55)</f>
        <v>78700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</v>
      </c>
      <c r="G60" s="80">
        <f>SUM(G56:G59)</f>
        <v>54400</v>
      </c>
      <c r="H60" s="80">
        <f>SUM(H56:H59)</f>
        <v>12600</v>
      </c>
      <c r="I60" s="260">
        <f>SUM(I56:I59)</f>
        <v>11800</v>
      </c>
      <c r="J60" s="80">
        <f>SUM(J56:J59)</f>
        <v>78700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</v>
      </c>
      <c r="G67" s="80">
        <f>SUM(G60:G64)</f>
        <v>54400</v>
      </c>
      <c r="H67" s="80">
        <f>SUM(H60:H64)</f>
        <v>12600</v>
      </c>
      <c r="I67" s="80">
        <f>SUM(I60:I64)</f>
        <v>11800</v>
      </c>
      <c r="J67" s="80">
        <f>SUM(J60:J64)</f>
        <v>78700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1300</v>
      </c>
      <c r="I68" s="113"/>
      <c r="J68" s="287">
        <f>SUM(G68:I68)</f>
        <v>1300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-500</v>
      </c>
      <c r="J69" s="287">
        <f>SUM(G69:I69)</f>
        <v>-500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</v>
      </c>
      <c r="G75" s="80">
        <f>SUM(G67:G74)</f>
        <v>54900</v>
      </c>
      <c r="H75" s="80">
        <f>SUM(H67:H74)</f>
        <v>13900</v>
      </c>
      <c r="I75" s="80">
        <f>SUM(I67:I74)</f>
        <v>11400</v>
      </c>
      <c r="J75" s="80">
        <f>SUM(J67:K74)</f>
        <v>80100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</v>
      </c>
      <c r="G80" s="80">
        <f>SUM(G75:G79)</f>
        <v>54900</v>
      </c>
      <c r="H80" s="80">
        <f>SUM(H75:H79)</f>
        <v>13900</v>
      </c>
      <c r="I80" s="80">
        <f>SUM(I75:I79)</f>
        <v>11400</v>
      </c>
      <c r="J80" s="80">
        <f>SUM(J75:J79)</f>
        <v>80100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8" priority="8">
      <formula>$J$44&lt;0</formula>
    </cfRule>
  </conditionalFormatting>
  <conditionalFormatting sqref="K43">
    <cfRule type="expression" dxfId="27" priority="7">
      <formula>$J$43&lt;0</formula>
    </cfRule>
  </conditionalFormatting>
  <conditionalFormatting sqref="L16">
    <cfRule type="expression" dxfId="26" priority="6">
      <formula>$J$16&lt;0</formula>
    </cfRule>
  </conditionalFormatting>
  <conditionalFormatting sqref="K45">
    <cfRule type="expression" dxfId="25" priority="5">
      <formula>$J$44&lt;0</formula>
    </cfRule>
  </conditionalFormatting>
  <conditionalFormatting sqref="K43:N45">
    <cfRule type="containsText" dxfId="24" priority="4" operator="containsText" text="underfunding">
      <formula>NOT(ISERROR(SEARCH("underfunding",K43)))</formula>
    </cfRule>
  </conditionalFormatting>
  <conditionalFormatting sqref="K44">
    <cfRule type="expression" dxfId="23" priority="3">
      <formula>$J$44&lt;0</formula>
    </cfRule>
  </conditionalFormatting>
  <conditionalFormatting sqref="K45">
    <cfRule type="expression" dxfId="22" priority="2">
      <formula>$J$44&lt;0</formula>
    </cfRule>
  </conditionalFormatting>
  <conditionalFormatting sqref="K45">
    <cfRule type="expression" dxfId="2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93846D-94A7-4A64-B35A-F4099485456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CBE8-3555-4428-8AE0-364527865C77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595</v>
      </c>
      <c r="E1" s="15"/>
      <c r="F1" s="15"/>
      <c r="G1" s="15"/>
      <c r="H1" s="15"/>
      <c r="I1" s="15"/>
      <c r="J1" s="15"/>
      <c r="K1" s="15"/>
      <c r="L1" s="16" t="s">
        <v>14</v>
      </c>
      <c r="M1" s="408">
        <v>522</v>
      </c>
      <c r="N1" s="409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596</v>
      </c>
      <c r="E2" s="21"/>
      <c r="F2" s="21"/>
      <c r="G2" s="21"/>
      <c r="H2" s="21"/>
      <c r="I2" s="21"/>
      <c r="J2" s="20"/>
      <c r="K2" s="20"/>
      <c r="L2" s="22" t="s">
        <v>111</v>
      </c>
      <c r="M2" s="410" t="s">
        <v>624</v>
      </c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597</v>
      </c>
      <c r="E3" s="24"/>
      <c r="F3" s="25"/>
      <c r="G3" s="25"/>
      <c r="H3" s="25"/>
      <c r="I3" s="26"/>
      <c r="J3" s="20"/>
      <c r="K3" s="20"/>
      <c r="L3" s="22" t="s">
        <v>112</v>
      </c>
      <c r="M3" s="408" t="s">
        <v>544</v>
      </c>
      <c r="N3" s="409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 t="s">
        <v>622</v>
      </c>
      <c r="J5" s="412"/>
      <c r="K5" s="412"/>
      <c r="L5" s="411"/>
      <c r="M5" s="352" t="s">
        <v>113</v>
      </c>
      <c r="N5" s="32" t="s">
        <v>623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3" t="s">
        <v>22</v>
      </c>
      <c r="D8" s="414"/>
      <c r="E8" s="371" t="s">
        <v>23</v>
      </c>
      <c r="F8" s="49" t="s">
        <v>24</v>
      </c>
      <c r="G8" s="50" t="str">
        <f>"FY "&amp;'EDMB|0450-75'!FiscalYear-1&amp;" SALARY"</f>
        <v>FY 2023 SALARY</v>
      </c>
      <c r="H8" s="50" t="str">
        <f>"FY "&amp;'EDMB|0450-75'!FiscalYear-1&amp;" HEALTH BENEFITS"</f>
        <v>FY 2023 HEALTH BENEFITS</v>
      </c>
      <c r="I8" s="50" t="str">
        <f>"FY "&amp;'EDMB|0450-75'!FiscalYear-1&amp;" VAR BENEFITS"</f>
        <v>FY 2023 VAR BENEFITS</v>
      </c>
      <c r="J8" s="50" t="str">
        <f>"FY "&amp;'EDMB|0450-75'!FiscalYear-1&amp;" TOTAL"</f>
        <v>FY 2023 TOTAL</v>
      </c>
      <c r="K8" s="50" t="str">
        <f>"FY "&amp;'EDMB|0450-75'!FiscalYear&amp;" SALARY CHANGE"</f>
        <v>FY 2024 SALARY CHANGE</v>
      </c>
      <c r="L8" s="50" t="str">
        <f>"FY "&amp;'EDMB|0450-75'!FiscalYear&amp;" CHG HEALTH BENEFITS"</f>
        <v>FY 2024 CHG HEALTH BENEFITS</v>
      </c>
      <c r="M8" s="50" t="str">
        <f>"FY "&amp;'EDMB|0450-75'!FiscalYear&amp;"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f>[0]!EDMB045075col_INC_FTI</f>
        <v>2.7</v>
      </c>
      <c r="G10" s="218">
        <f>[0]!EDMB045075col_FTI_SALARY_PERM</f>
        <v>119602.08000000002</v>
      </c>
      <c r="H10" s="218">
        <f>[0]!EDMB045075col_HEALTH_PERM</f>
        <v>33750</v>
      </c>
      <c r="I10" s="218">
        <f>[0]!EDMB045075col_TOT_VB_PERM</f>
        <v>25863.351789600001</v>
      </c>
      <c r="J10" s="219">
        <f>SUM(G10:I10)</f>
        <v>179215.43178960003</v>
      </c>
      <c r="K10" s="219">
        <f>[0]!EDMB045075col_1_27TH_PP</f>
        <v>0</v>
      </c>
      <c r="L10" s="218">
        <f>[0]!EDMB045075col_HEALTH_PERM_CHG</f>
        <v>3375</v>
      </c>
      <c r="M10" s="218">
        <f>[0]!EDMB045075col_TOT_VB_PERM_CHG</f>
        <v>-1088.378928000001</v>
      </c>
      <c r="N10" s="218">
        <f>SUM(L10:M10)</f>
        <v>2286.621071999999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200</v>
      </c>
      <c r="AC10" s="335">
        <f>SUM(AA10:AB10)</f>
        <v>1400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f>[0]!EDMB045075col_Group_Salary</f>
        <v>0</v>
      </c>
      <c r="H11" s="218">
        <v>0</v>
      </c>
      <c r="I11" s="218">
        <f>[0]!EDMB045075col_Group_Ben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f>[0]!EDMB045075col_TOTAL_ELECT_PCN_FTI</f>
        <v>0</v>
      </c>
      <c r="G12" s="218">
        <f>[0]!EDMB045075col_FTI_SALARY_ELECT</f>
        <v>0</v>
      </c>
      <c r="H12" s="218">
        <f>[0]!EDMB045075col_HEALTH_ELECT</f>
        <v>0</v>
      </c>
      <c r="I12" s="218">
        <f>[0]!EDMB045075col_TOT_VB_ELECT</f>
        <v>0</v>
      </c>
      <c r="J12" s="219">
        <f>SUM(G12:I12)</f>
        <v>0</v>
      </c>
      <c r="K12" s="268"/>
      <c r="L12" s="218">
        <f>[0]!EDMB045075col_HEALTH_ELECT_CHG</f>
        <v>0</v>
      </c>
      <c r="M12" s="218">
        <f>[0]!EDMB045075col_TOT_VB_ELECT_CHG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2.7</v>
      </c>
      <c r="G13" s="221">
        <f>SUM(G10:G12)</f>
        <v>119602.08000000002</v>
      </c>
      <c r="H13" s="221">
        <f>SUM(H10:H12)</f>
        <v>33750</v>
      </c>
      <c r="I13" s="221">
        <f>SUM(I10:I12)</f>
        <v>25863.351789600001</v>
      </c>
      <c r="J13" s="219">
        <f>SUM(G13:I13)</f>
        <v>179215.43178960003</v>
      </c>
      <c r="K13" s="268"/>
      <c r="L13" s="219">
        <f>SUM(L10:L12)</f>
        <v>3375</v>
      </c>
      <c r="M13" s="219">
        <f>SUM(M10:M12)</f>
        <v>-1088.378928000001</v>
      </c>
      <c r="N13" s="219">
        <f>SUM(N10:N12)</f>
        <v>2286.621071999999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"&amp;'EDMB|0450-75'!FiscalYear-1</f>
        <v>FY 2023</v>
      </c>
      <c r="D15" s="158" t="s">
        <v>31</v>
      </c>
      <c r="E15" s="355">
        <v>179500</v>
      </c>
      <c r="F15" s="55">
        <v>3</v>
      </c>
      <c r="G15" s="223">
        <f>IF(OrigApprop=0,0,(G13/$J$13)*OrigApprop)</f>
        <v>119791.99082143905</v>
      </c>
      <c r="H15" s="223">
        <f>IF(OrigApprop=0,0,(H13/$J$13)*OrigApprop)</f>
        <v>33803.590123378854</v>
      </c>
      <c r="I15" s="223">
        <f>IF(G15=0,0,(I13/$J$13)*OrigApprop)</f>
        <v>25904.419055182087</v>
      </c>
      <c r="J15" s="223">
        <f>SUM(G15:I15)</f>
        <v>179499.99999999997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0.29999999999999982</v>
      </c>
      <c r="G16" s="162">
        <f>G15-G13</f>
        <v>189.91082143902895</v>
      </c>
      <c r="H16" s="162">
        <f>H15-H13</f>
        <v>53.590123378853605</v>
      </c>
      <c r="I16" s="162">
        <f>I15-I13</f>
        <v>41.067265582085383</v>
      </c>
      <c r="J16" s="162">
        <f>J15-J13</f>
        <v>284.56821039994247</v>
      </c>
      <c r="K16" s="269"/>
      <c r="L16" s="56" t="str">
        <f>IF('EDMB|0450-75'!OrigApprop=0,"No Original Appropriation amount in DU 3.00 for this fund","Calculated "&amp;IF('EDMB|0450-75'!AdjustedTotal&gt;0,"overfunding ","underfunding ")&amp;"is "&amp;TEXT('EDMB|0450-75'!AdjustedTotal/'EDMB|0450-75'!AppropTotal,"#.0%;(#.0% );0% ;")&amp;" of Original Appropriation")</f>
        <v>Calculated overfunding is 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2.7</v>
      </c>
      <c r="G38" s="191">
        <f>SUMIF($E10:$E35,$E38,$G10:$G35)</f>
        <v>119602.08000000002</v>
      </c>
      <c r="H38" s="192">
        <f>SUMIF($E10:$E35,$E38,$H10:$H35)</f>
        <v>33750</v>
      </c>
      <c r="I38" s="192">
        <f>SUMIF($E10:$E35,$E38,$I10:$I35)</f>
        <v>25863.351789600001</v>
      </c>
      <c r="J38" s="192">
        <f>SUM(G38:I38)</f>
        <v>179215.43178960003</v>
      </c>
      <c r="K38" s="166"/>
      <c r="L38" s="191">
        <f>SUMIF($E10:$E35,$E38,$L10:$L35)</f>
        <v>3375</v>
      </c>
      <c r="M38" s="192">
        <f>SUMIF($E10:$E35,$E38,$M10:$M35)</f>
        <v>-1088.378928000001</v>
      </c>
      <c r="N38" s="192">
        <f>SUM(L38:M38)</f>
        <v>2286.621071999999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200</v>
      </c>
      <c r="AC38" s="338">
        <f>SUM(AA38:AB38)</f>
        <v>1400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2.7</v>
      </c>
      <c r="G41" s="195">
        <f>SUM($G$38:$G$40)</f>
        <v>119602.08000000002</v>
      </c>
      <c r="H41" s="162">
        <f>SUM($H$38:$H$40)</f>
        <v>33750</v>
      </c>
      <c r="I41" s="162">
        <f>SUM($I$38:$I$40)</f>
        <v>25863.351789600001</v>
      </c>
      <c r="J41" s="162">
        <f>SUM($J$38:$J$40)</f>
        <v>179215.43178960003</v>
      </c>
      <c r="K41" s="259"/>
      <c r="L41" s="195">
        <f>SUM($L$38:$L$40)</f>
        <v>3375</v>
      </c>
      <c r="M41" s="162">
        <f>SUM($M$38:$M$40)</f>
        <v>-1088.378928000001</v>
      </c>
      <c r="N41" s="162">
        <f>SUM(L41:M41)</f>
        <v>2286.621071999999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0.3</v>
      </c>
      <c r="G43" s="206">
        <f>G51-G41</f>
        <v>189.91082143902895</v>
      </c>
      <c r="H43" s="159">
        <f>H51-H41</f>
        <v>53.590123378853605</v>
      </c>
      <c r="I43" s="159">
        <f>I51-I41</f>
        <v>41.067265582085383</v>
      </c>
      <c r="J43" s="159">
        <f>SUM(G43:I43)</f>
        <v>284.56821039996794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Calculated overfunding is .2% of Original Appropriation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0.3</v>
      </c>
      <c r="G44" s="206">
        <f>G60-G41</f>
        <v>197.9199999999837</v>
      </c>
      <c r="H44" s="159">
        <f>H60-H41</f>
        <v>50</v>
      </c>
      <c r="I44" s="159">
        <f>I60-I41</f>
        <v>36.648210399998788</v>
      </c>
      <c r="J44" s="159">
        <f>SUM(G44:I44)</f>
        <v>284.56821039998249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.2% of Est. Expenditures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0.3</v>
      </c>
      <c r="G45" s="206">
        <f>G67-G41-G63</f>
        <v>197.9199999999837</v>
      </c>
      <c r="H45" s="206">
        <f>H67-H41-H63</f>
        <v>50</v>
      </c>
      <c r="I45" s="206">
        <f>I67-I41-I63</f>
        <v>36.648210399998788</v>
      </c>
      <c r="J45" s="159">
        <f>SUM(G45:I45)</f>
        <v>284.56821039998249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.2% of the Base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179500</v>
      </c>
      <c r="F51" s="272">
        <f>AppropFTP</f>
        <v>3</v>
      </c>
      <c r="G51" s="274">
        <f>IF(E51=0,0,(G41/$J$41)*$E$51)</f>
        <v>119791.99082143905</v>
      </c>
      <c r="H51" s="274">
        <f>IF(E51=0,0,(H41/$J$41)*$E$51)</f>
        <v>33803.590123378854</v>
      </c>
      <c r="I51" s="275">
        <f>IF(E51=0,0,(I41/$J$41)*$E$51)</f>
        <v>25904.419055182087</v>
      </c>
      <c r="J51" s="90">
        <f>SUM(G51:I51)</f>
        <v>179499.99999999997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3</v>
      </c>
      <c r="G52" s="79">
        <f>ROUND(G51,-2)</f>
        <v>119800</v>
      </c>
      <c r="H52" s="79">
        <f>ROUND(H51,-2)</f>
        <v>33800</v>
      </c>
      <c r="I52" s="266">
        <f>ROUND(I51,-2)</f>
        <v>25900</v>
      </c>
      <c r="J52" s="80">
        <f>ROUND(J51,-2)</f>
        <v>179500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3</v>
      </c>
      <c r="G56" s="80">
        <f>SUM(G52:G55)</f>
        <v>119800</v>
      </c>
      <c r="H56" s="80">
        <f>SUM(H52:H55)</f>
        <v>33800</v>
      </c>
      <c r="I56" s="260">
        <f>SUM(I52:I55)</f>
        <v>25900</v>
      </c>
      <c r="J56" s="80">
        <f>SUM(J52:J55)</f>
        <v>179500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3</v>
      </c>
      <c r="G60" s="80">
        <f>SUM(G56:G59)</f>
        <v>119800</v>
      </c>
      <c r="H60" s="80">
        <f>SUM(H56:H59)</f>
        <v>33800</v>
      </c>
      <c r="I60" s="260">
        <f>SUM(I56:I59)</f>
        <v>25900</v>
      </c>
      <c r="J60" s="80">
        <f>SUM(J56:J59)</f>
        <v>179500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3</v>
      </c>
      <c r="G67" s="80">
        <f>SUM(G60:G64)</f>
        <v>119800</v>
      </c>
      <c r="H67" s="80">
        <f>SUM(H60:H64)</f>
        <v>33800</v>
      </c>
      <c r="I67" s="80">
        <f>SUM(I60:I64)</f>
        <v>25900</v>
      </c>
      <c r="J67" s="80">
        <f>SUM(J60:J64)</f>
        <v>179500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3400</v>
      </c>
      <c r="I68" s="113"/>
      <c r="J68" s="287">
        <f>SUM(G68:I68)</f>
        <v>3400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-1100</v>
      </c>
      <c r="J69" s="287">
        <f>SUM(G69:I69)</f>
        <v>-1100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200</v>
      </c>
      <c r="J72" s="113">
        <f>SUM(G72:I72)</f>
        <v>1400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3</v>
      </c>
      <c r="G75" s="80">
        <f>SUM(G67:G74)</f>
        <v>121000</v>
      </c>
      <c r="H75" s="80">
        <f>SUM(H67:H74)</f>
        <v>37200</v>
      </c>
      <c r="I75" s="80">
        <f>SUM(I67:I74)</f>
        <v>25000</v>
      </c>
      <c r="J75" s="80">
        <f>SUM(J67:K74)</f>
        <v>183200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3</v>
      </c>
      <c r="G80" s="80">
        <f>SUM(G75:G79)</f>
        <v>121000</v>
      </c>
      <c r="H80" s="80">
        <f>SUM(H75:H79)</f>
        <v>37200</v>
      </c>
      <c r="I80" s="80">
        <f>SUM(I75:I79)</f>
        <v>25000</v>
      </c>
      <c r="J80" s="80">
        <f>SUM(J75:J79)</f>
        <v>183200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0" priority="8">
      <formula>$J$44&lt;0</formula>
    </cfRule>
  </conditionalFormatting>
  <conditionalFormatting sqref="K43">
    <cfRule type="expression" dxfId="19" priority="7">
      <formula>$J$43&lt;0</formula>
    </cfRule>
  </conditionalFormatting>
  <conditionalFormatting sqref="L16">
    <cfRule type="expression" dxfId="18" priority="6">
      <formula>$J$16&lt;0</formula>
    </cfRule>
  </conditionalFormatting>
  <conditionalFormatting sqref="K45">
    <cfRule type="expression" dxfId="17" priority="5">
      <formula>$J$44&lt;0</formula>
    </cfRule>
  </conditionalFormatting>
  <conditionalFormatting sqref="K43:N45">
    <cfRule type="containsText" dxfId="16" priority="4" operator="containsText" text="underfunding">
      <formula>NOT(ISERROR(SEARCH("underfunding",K43)))</formula>
    </cfRule>
  </conditionalFormatting>
  <conditionalFormatting sqref="K44">
    <cfRule type="expression" dxfId="15" priority="3">
      <formula>$J$44&lt;0</formula>
    </cfRule>
  </conditionalFormatting>
  <conditionalFormatting sqref="K45">
    <cfRule type="expression" dxfId="14" priority="2">
      <formula>$J$44&lt;0</formula>
    </cfRule>
  </conditionalFormatting>
  <conditionalFormatting sqref="K45">
    <cfRule type="expression" dxfId="1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28C6EC-4D68-4FF1-BF2A-3EEDB0EA3CF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T155"/>
  <sheetViews>
    <sheetView workbookViewId="0">
      <pane xSplit="3" ySplit="1" topLeftCell="AO96" activePane="bottomRight" state="frozen"/>
      <selection pane="topRight" activeCell="D1" sqref="D1"/>
      <selection pane="bottomLeft" activeCell="A2" sqref="A2"/>
      <selection pane="bottomRight" activeCell="AP114" sqref="AP114"/>
    </sheetView>
  </sheetViews>
  <sheetFormatPr defaultRowHeight="15"/>
  <cols>
    <col min="45" max="53" width="15.7109375" customWidth="1"/>
    <col min="54" max="54" width="12" bestFit="1" customWidth="1"/>
    <col min="55" max="55" width="9.28515625" bestFit="1" customWidth="1"/>
    <col min="56" max="57" width="10.85546875" bestFit="1" customWidth="1"/>
    <col min="58" max="58" width="12" bestFit="1" customWidth="1"/>
    <col min="59" max="59" width="10.85546875" bestFit="1" customWidth="1"/>
    <col min="60" max="60" width="9.28515625" bestFit="1" customWidth="1"/>
    <col min="61" max="61" width="9.7109375" bestFit="1" customWidth="1"/>
    <col min="62" max="62" width="10.855468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9" width="10.85546875" bestFit="1" customWidth="1"/>
    <col min="70" max="70" width="12" bestFit="1" customWidth="1"/>
    <col min="71" max="71" width="10.85546875" bestFit="1" customWidth="1"/>
    <col min="72" max="72" width="9.28515625" bestFit="1" customWidth="1"/>
    <col min="73" max="74" width="9.71093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1.5703125" bestFit="1" customWidth="1"/>
    <col min="83" max="85" width="9.28515625" bestFit="1" customWidth="1"/>
    <col min="86" max="86" width="10.42578125" bestFit="1" customWidth="1"/>
    <col min="87" max="87" width="9.28515625" bestFit="1" customWidth="1"/>
    <col min="88" max="88" width="11.5703125" bestFit="1" customWidth="1"/>
    <col min="89" max="89" width="9.28515625" bestFit="1" customWidth="1"/>
    <col min="90" max="90" width="12" bestFit="1" customWidth="1"/>
    <col min="91" max="91" width="10.85546875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7" t="s">
        <v>545</v>
      </c>
      <c r="AT1" s="387" t="s">
        <v>546</v>
      </c>
      <c r="AU1" s="387" t="s">
        <v>547</v>
      </c>
      <c r="AV1" s="387" t="s">
        <v>548</v>
      </c>
      <c r="AW1" s="387" t="s">
        <v>549</v>
      </c>
      <c r="AX1" s="387" t="s">
        <v>550</v>
      </c>
      <c r="AY1" s="387" t="s">
        <v>551</v>
      </c>
      <c r="AZ1" s="387" t="s">
        <v>552</v>
      </c>
      <c r="BA1" s="389" t="s">
        <v>553</v>
      </c>
      <c r="BB1" s="390" t="s">
        <v>554</v>
      </c>
      <c r="BC1" s="390" t="s">
        <v>555</v>
      </c>
      <c r="BD1" s="390" t="s">
        <v>556</v>
      </c>
      <c r="BE1" s="390" t="s">
        <v>557</v>
      </c>
      <c r="BF1" s="390" t="s">
        <v>558</v>
      </c>
      <c r="BG1" s="390" t="s">
        <v>559</v>
      </c>
      <c r="BH1" s="390" t="s">
        <v>560</v>
      </c>
      <c r="BI1" s="390" t="s">
        <v>561</v>
      </c>
      <c r="BJ1" s="390" t="s">
        <v>562</v>
      </c>
      <c r="BK1" s="390" t="s">
        <v>563</v>
      </c>
      <c r="BL1" s="391" t="s">
        <v>564</v>
      </c>
      <c r="BM1" s="391" t="s">
        <v>565</v>
      </c>
      <c r="BN1" s="390" t="s">
        <v>566</v>
      </c>
      <c r="BO1" s="390" t="s">
        <v>567</v>
      </c>
      <c r="BP1" s="390" t="s">
        <v>568</v>
      </c>
      <c r="BQ1" s="390" t="s">
        <v>569</v>
      </c>
      <c r="BR1" s="390" t="s">
        <v>570</v>
      </c>
      <c r="BS1" s="390" t="s">
        <v>571</v>
      </c>
      <c r="BT1" s="390" t="s">
        <v>572</v>
      </c>
      <c r="BU1" s="390" t="s">
        <v>573</v>
      </c>
      <c r="BV1" s="390" t="s">
        <v>574</v>
      </c>
      <c r="BW1" s="390" t="s">
        <v>575</v>
      </c>
      <c r="BX1" s="391" t="s">
        <v>576</v>
      </c>
      <c r="BY1" s="391" t="s">
        <v>577</v>
      </c>
      <c r="BZ1" s="390" t="s">
        <v>578</v>
      </c>
      <c r="CA1" s="390" t="s">
        <v>579</v>
      </c>
      <c r="CB1" s="390" t="s">
        <v>580</v>
      </c>
      <c r="CC1" s="390" t="s">
        <v>581</v>
      </c>
      <c r="CD1" s="390" t="s">
        <v>582</v>
      </c>
      <c r="CE1" s="390" t="s">
        <v>583</v>
      </c>
      <c r="CF1" s="390" t="s">
        <v>584</v>
      </c>
      <c r="CG1" s="390" t="s">
        <v>585</v>
      </c>
      <c r="CH1" s="390" t="s">
        <v>586</v>
      </c>
      <c r="CI1" s="390" t="s">
        <v>587</v>
      </c>
      <c r="CJ1" s="391" t="s">
        <v>588</v>
      </c>
      <c r="CK1" s="391" t="s">
        <v>589</v>
      </c>
      <c r="CL1" s="392" t="s">
        <v>590</v>
      </c>
      <c r="CM1" s="392" t="s">
        <v>591</v>
      </c>
      <c r="CN1" s="392" t="s">
        <v>592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6">
        <v>1</v>
      </c>
      <c r="Q2" s="386">
        <v>1</v>
      </c>
      <c r="R2" s="381">
        <v>80</v>
      </c>
      <c r="S2" s="386">
        <v>1</v>
      </c>
      <c r="T2" s="381">
        <v>30473.39</v>
      </c>
      <c r="U2" s="381">
        <v>632.87</v>
      </c>
      <c r="V2" s="381">
        <v>18350.060000000001</v>
      </c>
      <c r="W2" s="381">
        <v>36878.400000000001</v>
      </c>
      <c r="X2" s="381">
        <v>20474.93</v>
      </c>
      <c r="Y2" s="381">
        <v>36878.400000000001</v>
      </c>
      <c r="Z2" s="381">
        <v>21389.33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17.73</v>
      </c>
      <c r="AI2" s="382">
        <v>5926.9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6">
        <v>1</v>
      </c>
      <c r="AQ2" s="386">
        <v>1</v>
      </c>
      <c r="AR2" s="384" t="s">
        <v>184</v>
      </c>
      <c r="AS2" s="388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8">
        <f>IF(AT2=0,"",IF(AND(AT2=1,M2="F",SUMIF(C2:C112,C2,AS2:AS112)&lt;=1),SUMIF(C2:C112,C2,AS2:AS112),IF(AND(AT2=1,M2="F",SUMIF(C2:C112,C2,AS2:AS112)&gt;1),1,"")))</f>
        <v>1</v>
      </c>
      <c r="AV2" s="388" t="str">
        <f>IF(AT2=0,"",IF(AND(AT2=3,M2="F",SUMIF(C2:C112,C2,AS2:AS112)&lt;=1),SUMIF(C2:C112,C2,AS2:AS112),IF(AND(AT2=3,M2="F",SUMIF(C2:C112,C2,AS2:AS112)&gt;1),1,"")))</f>
        <v/>
      </c>
      <c r="AW2" s="388">
        <f>SUMIF(C2:C112,C2,O2:O112)</f>
        <v>1</v>
      </c>
      <c r="AX2" s="388">
        <f>IF(AND(M2="F",AS2&lt;&gt;0),SUMIF(C2:C112,C2,W2:W112),0)</f>
        <v>36878.400000000001</v>
      </c>
      <c r="AY2" s="388">
        <f>IF(AT2=1,W2,"")</f>
        <v>36878.400000000001</v>
      </c>
      <c r="AZ2" s="388" t="str">
        <f>IF(AT2=3,W2,"")</f>
        <v/>
      </c>
      <c r="BA2" s="388">
        <f>IF(AT2=1,Y2-W2,0)</f>
        <v>0</v>
      </c>
      <c r="BB2" s="388">
        <f t="shared" ref="BB2:BB33" si="0">IF(AND(AT2=1,AK2="E",AU2&gt;=0.75,AW2=1),Health,IF(AND(AT2=1,AK2="E",AU2&gt;=0.75),Health*P2,IF(AND(AT2=1,AK2="E",AU2&gt;=0.5,AW2=1),PTHealth,IF(AND(AT2=1,AK2="E",AU2&gt;=0.5),PTHealth*P2,0))))</f>
        <v>12500</v>
      </c>
      <c r="BC2" s="388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8">
        <f t="shared" ref="BD2:BD33" si="2">IF(AND(AT2&lt;&gt;0,AX2&gt;=MAXSSDI),SSDI*MAXSSDI*P2,IF(AT2&lt;&gt;0,SSDI*W2,0))</f>
        <v>2286.4608000000003</v>
      </c>
      <c r="BE2" s="388">
        <f t="shared" ref="BE2:BE33" si="3">IF(AT2&lt;&gt;0,SSHI*W2,0)</f>
        <v>534.73680000000002</v>
      </c>
      <c r="BF2" s="388">
        <f t="shared" ref="BF2:BF33" si="4">IF(AND(AT2&lt;&gt;0,AN2&lt;&gt;"NE"),VLOOKUP(AN2,Retirement_Rates,3,FALSE)*W2,0)</f>
        <v>4403.2809600000001</v>
      </c>
      <c r="BG2" s="388">
        <f t="shared" ref="BG2:BG33" si="5">IF(AND(AT2&lt;&gt;0,AJ2&lt;&gt;"PF"),Life*W2,0)</f>
        <v>265.89326400000004</v>
      </c>
      <c r="BH2" s="388">
        <f t="shared" ref="BH2:BH33" si="6">IF(AND(AT2&lt;&gt;0,AM2="Y"),UI*W2,0)</f>
        <v>0</v>
      </c>
      <c r="BI2" s="388">
        <f t="shared" ref="BI2:BI33" si="7">IF(AND(AT2&lt;&gt;0,N2&lt;&gt;"NR"),DHR*W2,0)</f>
        <v>204.12194400000001</v>
      </c>
      <c r="BJ2" s="388">
        <f t="shared" ref="BJ2:BJ33" si="8">IF(AT2&lt;&gt;0,WC*W2,0)</f>
        <v>280.27584000000002</v>
      </c>
      <c r="BK2" s="388">
        <f t="shared" ref="BK2:BK33" si="9">IF(OR(AND(AT2&lt;&gt;0,AJ2&lt;&gt;"PF",AN2&lt;&gt;"NE",AG2&lt;&gt;"A"),AND(AL2="E",OR(AT2=1,AT2=3))),Sick*W2,0)</f>
        <v>0</v>
      </c>
      <c r="BL2" s="388">
        <f>IF(AT2=1,SUM(BD2:BK2),0)</f>
        <v>7974.7696080000014</v>
      </c>
      <c r="BM2" s="388">
        <f>IF(AT2=3,SUM(BD2:BK2),0)</f>
        <v>0</v>
      </c>
      <c r="BN2" s="388">
        <f t="shared" ref="BN2:BN33" si="10">IF(AND(AT2=1,AK2="E",AU2&gt;=0.75,AW2=1),HealthBY,IF(AND(AT2=1,AK2="E",AU2&gt;=0.75),HealthBY*P2,IF(AND(AT2=1,AK2="E",AU2&gt;=0.5,AW2=1),PTHealthBY,IF(AND(AT2=1,AK2="E",AU2&gt;=0.5),PTHealthBY*P2,0))))</f>
        <v>13750</v>
      </c>
      <c r="BO2" s="388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8">
        <f t="shared" ref="BP2:BP33" si="12">IF(AND(AT2&lt;&gt;0,(AX2+BA2)&gt;=MAXSSDIBY),SSDIBY*MAXSSDIBY*P2,IF(AT2&lt;&gt;0,SSDIBY*W2,0))</f>
        <v>2286.4608000000003</v>
      </c>
      <c r="BQ2" s="388">
        <f t="shared" ref="BQ2:BQ33" si="13">IF(AT2&lt;&gt;0,SSHIBY*W2,0)</f>
        <v>534.73680000000002</v>
      </c>
      <c r="BR2" s="388">
        <f t="shared" ref="BR2:BR33" si="14">IF(AND(AT2&lt;&gt;0,AN2&lt;&gt;"NE"),VLOOKUP(AN2,Retirement_Rates,4,FALSE)*W2,0)</f>
        <v>4123.0051199999998</v>
      </c>
      <c r="BS2" s="388">
        <f t="shared" ref="BS2:BS33" si="15">IF(AND(AT2&lt;&gt;0,AJ2&lt;&gt;"PF"),LifeBY*W2,0)</f>
        <v>265.89326400000004</v>
      </c>
      <c r="BT2" s="388">
        <f t="shared" ref="BT2:BT33" si="16">IF(AND(AT2&lt;&gt;0,AM2="Y"),UIBY*W2,0)</f>
        <v>0</v>
      </c>
      <c r="BU2" s="388">
        <f t="shared" ref="BU2:BU33" si="17">IF(AND(AT2&lt;&gt;0,N2&lt;&gt;"NR"),DHRBY*W2,0)</f>
        <v>204.12194400000001</v>
      </c>
      <c r="BV2" s="388">
        <f t="shared" ref="BV2:BV33" si="18">IF(AT2&lt;&gt;0,WCBY*W2,0)</f>
        <v>224.95824000000002</v>
      </c>
      <c r="BW2" s="388">
        <f t="shared" ref="BW2:BW33" si="19">IF(OR(AND(AT2&lt;&gt;0,AJ2&lt;&gt;"PF",AN2&lt;&gt;"NE",AG2&lt;&gt;"A"),AND(AL2="E",OR(AT2=1,AT2=3))),SickBY*W2,0)</f>
        <v>0</v>
      </c>
      <c r="BX2" s="388">
        <f>IF(AT2=1,SUM(BP2:BW2),0)</f>
        <v>7639.1761680000009</v>
      </c>
      <c r="BY2" s="388">
        <f>IF(AT2=3,SUM(BP2:BW2),0)</f>
        <v>0</v>
      </c>
      <c r="BZ2" s="388">
        <f>IF(AT2=1,BN2-BB2,0)</f>
        <v>1250</v>
      </c>
      <c r="CA2" s="388">
        <f>IF(AT2=3,BO2-BC2,0)</f>
        <v>0</v>
      </c>
      <c r="CB2" s="388">
        <f>BP2-BD2</f>
        <v>0</v>
      </c>
      <c r="CC2" s="388">
        <f t="shared" ref="CC2:CC33" si="20">IF(AT2&lt;&gt;0,SSHICHG*Y2,0)</f>
        <v>0</v>
      </c>
      <c r="CD2" s="388">
        <f t="shared" ref="CD2:CD33" si="21">IF(AND(AT2&lt;&gt;0,AN2&lt;&gt;"NE"),VLOOKUP(AN2,Retirement_Rates,5,FALSE)*Y2,0)</f>
        <v>-280.27584000000036</v>
      </c>
      <c r="CE2" s="388">
        <f t="shared" ref="CE2:CE33" si="22">IF(AND(AT2&lt;&gt;0,AJ2&lt;&gt;"PF"),LifeCHG*Y2,0)</f>
        <v>0</v>
      </c>
      <c r="CF2" s="388">
        <f t="shared" ref="CF2:CF33" si="23">IF(AND(AT2&lt;&gt;0,AM2="Y"),UICHG*Y2,0)</f>
        <v>0</v>
      </c>
      <c r="CG2" s="388">
        <f t="shared" ref="CG2:CG33" si="24">IF(AND(AT2&lt;&gt;0,N2&lt;&gt;"NR"),DHRCHG*Y2,0)</f>
        <v>0</v>
      </c>
      <c r="CH2" s="388">
        <f t="shared" ref="CH2:CH33" si="25">IF(AT2&lt;&gt;0,WCCHG*Y2,0)</f>
        <v>-55.317599999999985</v>
      </c>
      <c r="CI2" s="388">
        <f t="shared" ref="CI2:CI33" si="26">IF(OR(AND(AT2&lt;&gt;0,AJ2&lt;&gt;"PF",AN2&lt;&gt;"NE",AG2&lt;&gt;"A"),AND(AL2="E",OR(AT2=1,AT2=3))),SickCHG*Y2,0)</f>
        <v>0</v>
      </c>
      <c r="CJ2" s="388">
        <f>IF(AT2=1,SUM(CB2:CI2),0)</f>
        <v>-335.59344000000033</v>
      </c>
      <c r="CK2" s="388" t="str">
        <f>IF(AT2=3,SUM(CB2:CI2),"")</f>
        <v/>
      </c>
      <c r="CL2" s="388" t="str">
        <f>IF(OR(N2="NG",AG2="D"),(T2+U2),"")</f>
        <v/>
      </c>
      <c r="CM2" s="388" t="str">
        <f>IF(OR(N2="NG",AG2="D"),V2,"")</f>
        <v/>
      </c>
      <c r="CN2" s="388" t="str">
        <f>E2 &amp; "-" &amp; F2</f>
        <v>0001-00</v>
      </c>
    </row>
    <row r="3" spans="1:92" ht="15.75" thickBot="1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189</v>
      </c>
      <c r="N3" s="377" t="s">
        <v>173</v>
      </c>
      <c r="O3" s="380">
        <v>0</v>
      </c>
      <c r="P3" s="386">
        <v>1</v>
      </c>
      <c r="Q3" s="386">
        <v>1</v>
      </c>
      <c r="R3" s="381">
        <v>80</v>
      </c>
      <c r="S3" s="386">
        <v>1</v>
      </c>
      <c r="T3" s="381">
        <v>28322.240000000002</v>
      </c>
      <c r="U3" s="381">
        <v>0</v>
      </c>
      <c r="V3" s="381">
        <v>10513.63</v>
      </c>
      <c r="W3" s="381">
        <v>55078.400000000001</v>
      </c>
      <c r="X3" s="381">
        <v>24785.279999999999</v>
      </c>
      <c r="Y3" s="381">
        <v>55078.400000000001</v>
      </c>
      <c r="Z3" s="381">
        <v>25666.53</v>
      </c>
      <c r="AA3" s="379"/>
      <c r="AB3" s="377" t="s">
        <v>45</v>
      </c>
      <c r="AC3" s="377" t="s">
        <v>45</v>
      </c>
      <c r="AD3" s="379"/>
      <c r="AE3" s="379"/>
      <c r="AF3" s="379"/>
      <c r="AG3" s="379"/>
      <c r="AH3" s="380">
        <v>0</v>
      </c>
      <c r="AI3" s="380">
        <v>0</v>
      </c>
      <c r="AJ3" s="379"/>
      <c r="AK3" s="379"/>
      <c r="AL3" s="377" t="s">
        <v>182</v>
      </c>
      <c r="AM3" s="379"/>
      <c r="AN3" s="379"/>
      <c r="AO3" s="380">
        <v>0</v>
      </c>
      <c r="AP3" s="386">
        <v>0</v>
      </c>
      <c r="AQ3" s="386">
        <v>0</v>
      </c>
      <c r="AR3" s="385"/>
      <c r="AS3" s="388">
        <f t="shared" ref="AS3:AS66" si="27">IF(((AO3/80)*AP3*P3)&gt;1,AQ3,((AO3/80)*AP3*P3))</f>
        <v>0</v>
      </c>
      <c r="AT3">
        <f t="shared" ref="AT3:AT66" si="28">IF(AND(M3="F",N3&lt;&gt;"NG",AS3&lt;&gt;0,AND(AR3&lt;&gt;6,AR3&lt;&gt;36,AR3&lt;&gt;56),AG3&lt;&gt;"A",OR(AG3="H",AJ3="FS")),1,IF(AND(M3="F",N3&lt;&gt;"NG",AS3&lt;&gt;0,AG3="A"),3,0))</f>
        <v>0</v>
      </c>
      <c r="AU3" s="388" t="str">
        <f>IF(AT3=0,"",IF(AND(AT3=1,M3="F",SUMIF(C2:C112,C3,AS2:AS112)&lt;=1),SUMIF(C2:C112,C3,AS2:AS112),IF(AND(AT3=1,M3="F",SUMIF(C2:C112,C3,AS2:AS112)&gt;1),1,"")))</f>
        <v/>
      </c>
      <c r="AV3" s="388" t="str">
        <f>IF(AT3=0,"",IF(AND(AT3=3,M3="F",SUMIF(C2:C112,C3,AS2:AS112)&lt;=1),SUMIF(C2:C112,C3,AS2:AS112),IF(AND(AT3=3,M3="F",SUMIF(C2:C112,C3,AS2:AS112)&gt;1),1,"")))</f>
        <v/>
      </c>
      <c r="AW3" s="388">
        <f>SUMIF(C2:C112,C3,O2:O112)</f>
        <v>0</v>
      </c>
      <c r="AX3" s="388">
        <f>IF(AND(M3="F",AS3&lt;&gt;0),SUMIF(C2:C112,C3,W2:W112),0)</f>
        <v>0</v>
      </c>
      <c r="AY3" s="388" t="str">
        <f t="shared" ref="AY3:AY66" si="29">IF(AT3=1,W3,"")</f>
        <v/>
      </c>
      <c r="AZ3" s="388" t="str">
        <f t="shared" ref="AZ3:AZ66" si="30">IF(AT3=3,W3,"")</f>
        <v/>
      </c>
      <c r="BA3" s="388">
        <f t="shared" ref="BA3:BA66" si="31">IF(AT3=1,Y3-W3,0)</f>
        <v>0</v>
      </c>
      <c r="BB3" s="388">
        <f t="shared" si="0"/>
        <v>0</v>
      </c>
      <c r="BC3" s="388">
        <f t="shared" si="1"/>
        <v>0</v>
      </c>
      <c r="BD3" s="388">
        <f t="shared" si="2"/>
        <v>0</v>
      </c>
      <c r="BE3" s="388">
        <f t="shared" si="3"/>
        <v>0</v>
      </c>
      <c r="BF3" s="388">
        <f t="shared" si="4"/>
        <v>0</v>
      </c>
      <c r="BG3" s="388">
        <f t="shared" si="5"/>
        <v>0</v>
      </c>
      <c r="BH3" s="388">
        <f t="shared" si="6"/>
        <v>0</v>
      </c>
      <c r="BI3" s="388">
        <f t="shared" si="7"/>
        <v>0</v>
      </c>
      <c r="BJ3" s="388">
        <f t="shared" si="8"/>
        <v>0</v>
      </c>
      <c r="BK3" s="388">
        <f t="shared" si="9"/>
        <v>0</v>
      </c>
      <c r="BL3" s="388">
        <f t="shared" ref="BL3:BL66" si="32">IF(AT3=1,SUM(BD3:BK3),0)</f>
        <v>0</v>
      </c>
      <c r="BM3" s="388">
        <f t="shared" ref="BM3:BM66" si="33">IF(AT3=3,SUM(BD3:BK3),0)</f>
        <v>0</v>
      </c>
      <c r="BN3" s="388">
        <f t="shared" si="10"/>
        <v>0</v>
      </c>
      <c r="BO3" s="388">
        <f t="shared" si="11"/>
        <v>0</v>
      </c>
      <c r="BP3" s="388">
        <f t="shared" si="12"/>
        <v>0</v>
      </c>
      <c r="BQ3" s="388">
        <f t="shared" si="13"/>
        <v>0</v>
      </c>
      <c r="BR3" s="388">
        <f t="shared" si="14"/>
        <v>0</v>
      </c>
      <c r="BS3" s="388">
        <f t="shared" si="15"/>
        <v>0</v>
      </c>
      <c r="BT3" s="388">
        <f t="shared" si="16"/>
        <v>0</v>
      </c>
      <c r="BU3" s="388">
        <f t="shared" si="17"/>
        <v>0</v>
      </c>
      <c r="BV3" s="388">
        <f t="shared" si="18"/>
        <v>0</v>
      </c>
      <c r="BW3" s="388">
        <f t="shared" si="19"/>
        <v>0</v>
      </c>
      <c r="BX3" s="388">
        <f t="shared" ref="BX3:BX66" si="34">IF(AT3=1,SUM(BP3:BW3),0)</f>
        <v>0</v>
      </c>
      <c r="BY3" s="388">
        <f t="shared" ref="BY3:BY66" si="35">IF(AT3=3,SUM(BP3:BW3),0)</f>
        <v>0</v>
      </c>
      <c r="BZ3" s="388">
        <f t="shared" ref="BZ3:BZ66" si="36">IF(AT3=1,BN3-BB3,0)</f>
        <v>0</v>
      </c>
      <c r="CA3" s="388">
        <f t="shared" ref="CA3:CA66" si="37">IF(AT3=3,BO3-BC3,0)</f>
        <v>0</v>
      </c>
      <c r="CB3" s="388">
        <f t="shared" ref="CB3:CB66" si="38">BP3-BD3</f>
        <v>0</v>
      </c>
      <c r="CC3" s="388">
        <f t="shared" si="20"/>
        <v>0</v>
      </c>
      <c r="CD3" s="388">
        <f t="shared" si="21"/>
        <v>0</v>
      </c>
      <c r="CE3" s="388">
        <f t="shared" si="22"/>
        <v>0</v>
      </c>
      <c r="CF3" s="388">
        <f t="shared" si="23"/>
        <v>0</v>
      </c>
      <c r="CG3" s="388">
        <f t="shared" si="24"/>
        <v>0</v>
      </c>
      <c r="CH3" s="388">
        <f t="shared" si="25"/>
        <v>0</v>
      </c>
      <c r="CI3" s="388">
        <f t="shared" si="26"/>
        <v>0</v>
      </c>
      <c r="CJ3" s="388">
        <f t="shared" ref="CJ3:CJ66" si="39">IF(AT3=1,SUM(CB3:CI3),0)</f>
        <v>0</v>
      </c>
      <c r="CK3" s="388" t="str">
        <f t="shared" ref="CK3:CK66" si="40">IF(AT3=3,SUM(CB3:CI3),"")</f>
        <v/>
      </c>
      <c r="CL3" s="388" t="str">
        <f t="shared" ref="CL3:CL66" si="41">IF(OR(N3="NG",AG3="D"),(T3+U3),"")</f>
        <v/>
      </c>
      <c r="CM3" s="388" t="str">
        <f t="shared" ref="CM3:CM66" si="42">IF(OR(N3="NG",AG3="D"),V3,"")</f>
        <v/>
      </c>
      <c r="CN3" s="388" t="str">
        <f t="shared" ref="CN3:CN66" si="43">E3 &amp; "-" &amp; F3</f>
        <v>0001-00</v>
      </c>
    </row>
    <row r="4" spans="1:92" ht="15.75" thickBot="1">
      <c r="A4" s="377" t="s">
        <v>162</v>
      </c>
      <c r="B4" s="377" t="s">
        <v>163</v>
      </c>
      <c r="C4" s="377" t="s">
        <v>190</v>
      </c>
      <c r="D4" s="377" t="s">
        <v>191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192</v>
      </c>
      <c r="K4" s="377" t="s">
        <v>193</v>
      </c>
      <c r="L4" s="377" t="s">
        <v>188</v>
      </c>
      <c r="M4" s="377" t="s">
        <v>172</v>
      </c>
      <c r="N4" s="377" t="s">
        <v>173</v>
      </c>
      <c r="O4" s="380">
        <v>1</v>
      </c>
      <c r="P4" s="386">
        <v>0.75</v>
      </c>
      <c r="Q4" s="386">
        <v>0.75</v>
      </c>
      <c r="R4" s="381">
        <v>80</v>
      </c>
      <c r="S4" s="386">
        <v>0.75</v>
      </c>
      <c r="T4" s="381">
        <v>44411.06</v>
      </c>
      <c r="U4" s="381">
        <v>0</v>
      </c>
      <c r="V4" s="381">
        <v>18371.27</v>
      </c>
      <c r="W4" s="381">
        <v>45973.2</v>
      </c>
      <c r="X4" s="381">
        <v>19316.68</v>
      </c>
      <c r="Y4" s="381">
        <v>45973.2</v>
      </c>
      <c r="Z4" s="381">
        <v>19835.82</v>
      </c>
      <c r="AA4" s="377" t="s">
        <v>194</v>
      </c>
      <c r="AB4" s="377" t="s">
        <v>195</v>
      </c>
      <c r="AC4" s="377" t="s">
        <v>196</v>
      </c>
      <c r="AD4" s="377" t="s">
        <v>197</v>
      </c>
      <c r="AE4" s="377" t="s">
        <v>193</v>
      </c>
      <c r="AF4" s="377" t="s">
        <v>198</v>
      </c>
      <c r="AG4" s="377" t="s">
        <v>179</v>
      </c>
      <c r="AH4" s="382">
        <v>29.47</v>
      </c>
      <c r="AI4" s="382">
        <v>48521.4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6">
        <v>1</v>
      </c>
      <c r="AQ4" s="386">
        <v>0.75</v>
      </c>
      <c r="AR4" s="384" t="s">
        <v>184</v>
      </c>
      <c r="AS4" s="388">
        <f t="shared" si="27"/>
        <v>0.75</v>
      </c>
      <c r="AT4">
        <f t="shared" si="28"/>
        <v>1</v>
      </c>
      <c r="AU4" s="388">
        <f>IF(AT4=0,"",IF(AND(AT4=1,M4="F",SUMIF(C2:C112,C4,AS2:AS112)&lt;=1),SUMIF(C2:C112,C4,AS2:AS112),IF(AND(AT4=1,M4="F",SUMIF(C2:C112,C4,AS2:AS112)&gt;1),1,"")))</f>
        <v>1</v>
      </c>
      <c r="AV4" s="388" t="str">
        <f>IF(AT4=0,"",IF(AND(AT4=3,M4="F",SUMIF(C2:C112,C4,AS2:AS112)&lt;=1),SUMIF(C2:C112,C4,AS2:AS112),IF(AND(AT4=3,M4="F",SUMIF(C2:C112,C4,AS2:AS112)&gt;1),1,"")))</f>
        <v/>
      </c>
      <c r="AW4" s="388">
        <f>SUMIF(C2:C112,C4,O2:O112)</f>
        <v>2</v>
      </c>
      <c r="AX4" s="388">
        <f>IF(AND(M4="F",AS4&lt;&gt;0),SUMIF(C2:C112,C4,W2:W112),0)</f>
        <v>61297.599999999999</v>
      </c>
      <c r="AY4" s="388">
        <f t="shared" si="29"/>
        <v>45973.2</v>
      </c>
      <c r="AZ4" s="388" t="str">
        <f t="shared" si="30"/>
        <v/>
      </c>
      <c r="BA4" s="388">
        <f t="shared" si="31"/>
        <v>0</v>
      </c>
      <c r="BB4" s="388">
        <f t="shared" si="0"/>
        <v>9375</v>
      </c>
      <c r="BC4" s="388">
        <f t="shared" si="1"/>
        <v>0</v>
      </c>
      <c r="BD4" s="388">
        <f t="shared" si="2"/>
        <v>2850.3383999999996</v>
      </c>
      <c r="BE4" s="388">
        <f t="shared" si="3"/>
        <v>666.6114</v>
      </c>
      <c r="BF4" s="388">
        <f t="shared" si="4"/>
        <v>5489.2000799999996</v>
      </c>
      <c r="BG4" s="388">
        <f t="shared" si="5"/>
        <v>331.46677199999999</v>
      </c>
      <c r="BH4" s="388">
        <f t="shared" si="6"/>
        <v>0</v>
      </c>
      <c r="BI4" s="388">
        <f t="shared" si="7"/>
        <v>254.46166199999999</v>
      </c>
      <c r="BJ4" s="388">
        <f t="shared" si="8"/>
        <v>349.39632</v>
      </c>
      <c r="BK4" s="388">
        <f t="shared" si="9"/>
        <v>0</v>
      </c>
      <c r="BL4" s="388">
        <f t="shared" si="32"/>
        <v>9941.4746339999983</v>
      </c>
      <c r="BM4" s="388">
        <f t="shared" si="33"/>
        <v>0</v>
      </c>
      <c r="BN4" s="388">
        <f t="shared" si="10"/>
        <v>10312.5</v>
      </c>
      <c r="BO4" s="388">
        <f t="shared" si="11"/>
        <v>0</v>
      </c>
      <c r="BP4" s="388">
        <f t="shared" si="12"/>
        <v>2850.3383999999996</v>
      </c>
      <c r="BQ4" s="388">
        <f t="shared" si="13"/>
        <v>666.6114</v>
      </c>
      <c r="BR4" s="388">
        <f t="shared" si="14"/>
        <v>5139.8037599999998</v>
      </c>
      <c r="BS4" s="388">
        <f t="shared" si="15"/>
        <v>331.46677199999999</v>
      </c>
      <c r="BT4" s="388">
        <f t="shared" si="16"/>
        <v>0</v>
      </c>
      <c r="BU4" s="388">
        <f t="shared" si="17"/>
        <v>254.46166199999999</v>
      </c>
      <c r="BV4" s="388">
        <f t="shared" si="18"/>
        <v>280.43651999999997</v>
      </c>
      <c r="BW4" s="388">
        <f t="shared" si="19"/>
        <v>0</v>
      </c>
      <c r="BX4" s="388">
        <f t="shared" si="34"/>
        <v>9523.118513999998</v>
      </c>
      <c r="BY4" s="388">
        <f t="shared" si="35"/>
        <v>0</v>
      </c>
      <c r="BZ4" s="388">
        <f t="shared" si="36"/>
        <v>937.5</v>
      </c>
      <c r="CA4" s="388">
        <f t="shared" si="37"/>
        <v>0</v>
      </c>
      <c r="CB4" s="388">
        <f t="shared" si="38"/>
        <v>0</v>
      </c>
      <c r="CC4" s="388">
        <f t="shared" si="20"/>
        <v>0</v>
      </c>
      <c r="CD4" s="388">
        <f t="shared" si="21"/>
        <v>-349.3963200000004</v>
      </c>
      <c r="CE4" s="388">
        <f t="shared" si="22"/>
        <v>0</v>
      </c>
      <c r="CF4" s="388">
        <f t="shared" si="23"/>
        <v>0</v>
      </c>
      <c r="CG4" s="388">
        <f t="shared" si="24"/>
        <v>0</v>
      </c>
      <c r="CH4" s="388">
        <f t="shared" si="25"/>
        <v>-68.959799999999973</v>
      </c>
      <c r="CI4" s="388">
        <f t="shared" si="26"/>
        <v>0</v>
      </c>
      <c r="CJ4" s="388">
        <f t="shared" si="39"/>
        <v>-418.35612000000037</v>
      </c>
      <c r="CK4" s="388" t="str">
        <f t="shared" si="40"/>
        <v/>
      </c>
      <c r="CL4" s="388" t="str">
        <f t="shared" si="41"/>
        <v/>
      </c>
      <c r="CM4" s="388" t="str">
        <f t="shared" si="42"/>
        <v/>
      </c>
      <c r="CN4" s="388" t="str">
        <f t="shared" si="43"/>
        <v>0001-00</v>
      </c>
    </row>
    <row r="5" spans="1:92" ht="15.75" thickBot="1">
      <c r="A5" s="377" t="s">
        <v>162</v>
      </c>
      <c r="B5" s="377" t="s">
        <v>163</v>
      </c>
      <c r="C5" s="377" t="s">
        <v>199</v>
      </c>
      <c r="D5" s="377" t="s">
        <v>200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201</v>
      </c>
      <c r="L5" s="377" t="s">
        <v>202</v>
      </c>
      <c r="M5" s="377" t="s">
        <v>189</v>
      </c>
      <c r="N5" s="377" t="s">
        <v>173</v>
      </c>
      <c r="O5" s="380">
        <v>0</v>
      </c>
      <c r="P5" s="386">
        <v>1</v>
      </c>
      <c r="Q5" s="386">
        <v>1</v>
      </c>
      <c r="R5" s="381">
        <v>80</v>
      </c>
      <c r="S5" s="386">
        <v>1</v>
      </c>
      <c r="T5" s="381">
        <v>41158.400000000001</v>
      </c>
      <c r="U5" s="381">
        <v>0</v>
      </c>
      <c r="V5" s="381">
        <v>20486.939999999999</v>
      </c>
      <c r="W5" s="381">
        <v>38625.599999999999</v>
      </c>
      <c r="X5" s="381">
        <v>17381.52</v>
      </c>
      <c r="Y5" s="381">
        <v>38625.599999999999</v>
      </c>
      <c r="Z5" s="381">
        <v>17999.52</v>
      </c>
      <c r="AA5" s="379"/>
      <c r="AB5" s="377" t="s">
        <v>45</v>
      </c>
      <c r="AC5" s="377" t="s">
        <v>45</v>
      </c>
      <c r="AD5" s="379"/>
      <c r="AE5" s="379"/>
      <c r="AF5" s="379"/>
      <c r="AG5" s="379"/>
      <c r="AH5" s="380">
        <v>0</v>
      </c>
      <c r="AI5" s="380">
        <v>0</v>
      </c>
      <c r="AJ5" s="379"/>
      <c r="AK5" s="379"/>
      <c r="AL5" s="377" t="s">
        <v>182</v>
      </c>
      <c r="AM5" s="379"/>
      <c r="AN5" s="379"/>
      <c r="AO5" s="380">
        <v>0</v>
      </c>
      <c r="AP5" s="386">
        <v>0</v>
      </c>
      <c r="AQ5" s="386">
        <v>0</v>
      </c>
      <c r="AR5" s="385"/>
      <c r="AS5" s="388">
        <f t="shared" si="27"/>
        <v>0</v>
      </c>
      <c r="AT5">
        <f t="shared" si="28"/>
        <v>0</v>
      </c>
      <c r="AU5" s="388" t="str">
        <f>IF(AT5=0,"",IF(AND(AT5=1,M5="F",SUMIF(C2:C112,C5,AS2:AS112)&lt;=1),SUMIF(C2:C112,C5,AS2:AS112),IF(AND(AT5=1,M5="F",SUMIF(C2:C112,C5,AS2:AS112)&gt;1),1,"")))</f>
        <v/>
      </c>
      <c r="AV5" s="388" t="str">
        <f>IF(AT5=0,"",IF(AND(AT5=3,M5="F",SUMIF(C2:C112,C5,AS2:AS112)&lt;=1),SUMIF(C2:C112,C5,AS2:AS112),IF(AND(AT5=3,M5="F",SUMIF(C2:C112,C5,AS2:AS112)&gt;1),1,"")))</f>
        <v/>
      </c>
      <c r="AW5" s="388">
        <f>SUMIF(C2:C112,C5,O2:O112)</f>
        <v>0</v>
      </c>
      <c r="AX5" s="388">
        <f>IF(AND(M5="F",AS5&lt;&gt;0),SUMIF(C2:C112,C5,W2:W112),0)</f>
        <v>0</v>
      </c>
      <c r="AY5" s="388" t="str">
        <f t="shared" si="29"/>
        <v/>
      </c>
      <c r="AZ5" s="388" t="str">
        <f t="shared" si="30"/>
        <v/>
      </c>
      <c r="BA5" s="388">
        <f t="shared" si="31"/>
        <v>0</v>
      </c>
      <c r="BB5" s="388">
        <f t="shared" si="0"/>
        <v>0</v>
      </c>
      <c r="BC5" s="388">
        <f t="shared" si="1"/>
        <v>0</v>
      </c>
      <c r="BD5" s="388">
        <f t="shared" si="2"/>
        <v>0</v>
      </c>
      <c r="BE5" s="388">
        <f t="shared" si="3"/>
        <v>0</v>
      </c>
      <c r="BF5" s="388">
        <f t="shared" si="4"/>
        <v>0</v>
      </c>
      <c r="BG5" s="388">
        <f t="shared" si="5"/>
        <v>0</v>
      </c>
      <c r="BH5" s="388">
        <f t="shared" si="6"/>
        <v>0</v>
      </c>
      <c r="BI5" s="388">
        <f t="shared" si="7"/>
        <v>0</v>
      </c>
      <c r="BJ5" s="388">
        <f t="shared" si="8"/>
        <v>0</v>
      </c>
      <c r="BK5" s="388">
        <f t="shared" si="9"/>
        <v>0</v>
      </c>
      <c r="BL5" s="388">
        <f t="shared" si="32"/>
        <v>0</v>
      </c>
      <c r="BM5" s="388">
        <f t="shared" si="33"/>
        <v>0</v>
      </c>
      <c r="BN5" s="388">
        <f t="shared" si="10"/>
        <v>0</v>
      </c>
      <c r="BO5" s="388">
        <f t="shared" si="11"/>
        <v>0</v>
      </c>
      <c r="BP5" s="388">
        <f t="shared" si="12"/>
        <v>0</v>
      </c>
      <c r="BQ5" s="388">
        <f t="shared" si="13"/>
        <v>0</v>
      </c>
      <c r="BR5" s="388">
        <f t="shared" si="14"/>
        <v>0</v>
      </c>
      <c r="BS5" s="388">
        <f t="shared" si="15"/>
        <v>0</v>
      </c>
      <c r="BT5" s="388">
        <f t="shared" si="16"/>
        <v>0</v>
      </c>
      <c r="BU5" s="388">
        <f t="shared" si="17"/>
        <v>0</v>
      </c>
      <c r="BV5" s="388">
        <f t="shared" si="18"/>
        <v>0</v>
      </c>
      <c r="BW5" s="388">
        <f t="shared" si="19"/>
        <v>0</v>
      </c>
      <c r="BX5" s="388">
        <f t="shared" si="34"/>
        <v>0</v>
      </c>
      <c r="BY5" s="388">
        <f t="shared" si="35"/>
        <v>0</v>
      </c>
      <c r="BZ5" s="388">
        <f t="shared" si="36"/>
        <v>0</v>
      </c>
      <c r="CA5" s="388">
        <f t="shared" si="37"/>
        <v>0</v>
      </c>
      <c r="CB5" s="388">
        <f t="shared" si="38"/>
        <v>0</v>
      </c>
      <c r="CC5" s="388">
        <f t="shared" si="20"/>
        <v>0</v>
      </c>
      <c r="CD5" s="388">
        <f t="shared" si="21"/>
        <v>0</v>
      </c>
      <c r="CE5" s="388">
        <f t="shared" si="22"/>
        <v>0</v>
      </c>
      <c r="CF5" s="388">
        <f t="shared" si="23"/>
        <v>0</v>
      </c>
      <c r="CG5" s="388">
        <f t="shared" si="24"/>
        <v>0</v>
      </c>
      <c r="CH5" s="388">
        <f t="shared" si="25"/>
        <v>0</v>
      </c>
      <c r="CI5" s="388">
        <f t="shared" si="26"/>
        <v>0</v>
      </c>
      <c r="CJ5" s="388">
        <f t="shared" si="39"/>
        <v>0</v>
      </c>
      <c r="CK5" s="388" t="str">
        <f t="shared" si="40"/>
        <v/>
      </c>
      <c r="CL5" s="388" t="str">
        <f t="shared" si="41"/>
        <v/>
      </c>
      <c r="CM5" s="388" t="str">
        <f t="shared" si="42"/>
        <v/>
      </c>
      <c r="CN5" s="388" t="str">
        <f t="shared" si="43"/>
        <v>0001-00</v>
      </c>
    </row>
    <row r="6" spans="1:92" ht="15.75" thickBot="1">
      <c r="A6" s="377" t="s">
        <v>162</v>
      </c>
      <c r="B6" s="377" t="s">
        <v>163</v>
      </c>
      <c r="C6" s="377" t="s">
        <v>203</v>
      </c>
      <c r="D6" s="377" t="s">
        <v>204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205</v>
      </c>
      <c r="L6" s="377" t="s">
        <v>179</v>
      </c>
      <c r="M6" s="377" t="s">
        <v>172</v>
      </c>
      <c r="N6" s="377" t="s">
        <v>173</v>
      </c>
      <c r="O6" s="380">
        <v>1</v>
      </c>
      <c r="P6" s="386">
        <v>0</v>
      </c>
      <c r="Q6" s="386">
        <v>0</v>
      </c>
      <c r="R6" s="381">
        <v>80</v>
      </c>
      <c r="S6" s="386">
        <v>0</v>
      </c>
      <c r="T6" s="381">
        <v>0</v>
      </c>
      <c r="U6" s="381">
        <v>0</v>
      </c>
      <c r="V6" s="381">
        <v>9.61</v>
      </c>
      <c r="W6" s="381">
        <v>0</v>
      </c>
      <c r="X6" s="381">
        <v>0</v>
      </c>
      <c r="Y6" s="381">
        <v>0</v>
      </c>
      <c r="Z6" s="381">
        <v>0</v>
      </c>
      <c r="AA6" s="377" t="s">
        <v>206</v>
      </c>
      <c r="AB6" s="377" t="s">
        <v>207</v>
      </c>
      <c r="AC6" s="377" t="s">
        <v>208</v>
      </c>
      <c r="AD6" s="377" t="s">
        <v>209</v>
      </c>
      <c r="AE6" s="377" t="s">
        <v>205</v>
      </c>
      <c r="AF6" s="377" t="s">
        <v>210</v>
      </c>
      <c r="AG6" s="377" t="s">
        <v>179</v>
      </c>
      <c r="AH6" s="382">
        <v>18.8</v>
      </c>
      <c r="AI6" s="382">
        <v>9313.7999999999993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6">
        <v>1</v>
      </c>
      <c r="AQ6" s="386">
        <v>0</v>
      </c>
      <c r="AR6" s="384" t="s">
        <v>184</v>
      </c>
      <c r="AS6" s="388">
        <f t="shared" si="27"/>
        <v>0</v>
      </c>
      <c r="AT6">
        <f t="shared" si="28"/>
        <v>0</v>
      </c>
      <c r="AU6" s="388" t="str">
        <f>IF(AT6=0,"",IF(AND(AT6=1,M6="F",SUMIF(C2:C112,C6,AS2:AS112)&lt;=1),SUMIF(C2:C112,C6,AS2:AS112),IF(AND(AT6=1,M6="F",SUMIF(C2:C112,C6,AS2:AS112)&gt;1),1,"")))</f>
        <v/>
      </c>
      <c r="AV6" s="388" t="str">
        <f>IF(AT6=0,"",IF(AND(AT6=3,M6="F",SUMIF(C2:C112,C6,AS2:AS112)&lt;=1),SUMIF(C2:C112,C6,AS2:AS112),IF(AND(AT6=3,M6="F",SUMIF(C2:C112,C6,AS2:AS112)&gt;1),1,"")))</f>
        <v/>
      </c>
      <c r="AW6" s="388">
        <f>SUMIF(C2:C112,C6,O2:O112)</f>
        <v>2</v>
      </c>
      <c r="AX6" s="388">
        <f>IF(AND(M6="F",AS6&lt;&gt;0),SUMIF(C2:C112,C6,W2:W112),0)</f>
        <v>0</v>
      </c>
      <c r="AY6" s="388" t="str">
        <f t="shared" si="29"/>
        <v/>
      </c>
      <c r="AZ6" s="388" t="str">
        <f t="shared" si="30"/>
        <v/>
      </c>
      <c r="BA6" s="388">
        <f t="shared" si="31"/>
        <v>0</v>
      </c>
      <c r="BB6" s="388">
        <f t="shared" si="0"/>
        <v>0</v>
      </c>
      <c r="BC6" s="388">
        <f t="shared" si="1"/>
        <v>0</v>
      </c>
      <c r="BD6" s="388">
        <f t="shared" si="2"/>
        <v>0</v>
      </c>
      <c r="BE6" s="388">
        <f t="shared" si="3"/>
        <v>0</v>
      </c>
      <c r="BF6" s="388">
        <f t="shared" si="4"/>
        <v>0</v>
      </c>
      <c r="BG6" s="388">
        <f t="shared" si="5"/>
        <v>0</v>
      </c>
      <c r="BH6" s="388">
        <f t="shared" si="6"/>
        <v>0</v>
      </c>
      <c r="BI6" s="388">
        <f t="shared" si="7"/>
        <v>0</v>
      </c>
      <c r="BJ6" s="388">
        <f t="shared" si="8"/>
        <v>0</v>
      </c>
      <c r="BK6" s="388">
        <f t="shared" si="9"/>
        <v>0</v>
      </c>
      <c r="BL6" s="388">
        <f t="shared" si="32"/>
        <v>0</v>
      </c>
      <c r="BM6" s="388">
        <f t="shared" si="33"/>
        <v>0</v>
      </c>
      <c r="BN6" s="388">
        <f t="shared" si="10"/>
        <v>0</v>
      </c>
      <c r="BO6" s="388">
        <f t="shared" si="11"/>
        <v>0</v>
      </c>
      <c r="BP6" s="388">
        <f t="shared" si="12"/>
        <v>0</v>
      </c>
      <c r="BQ6" s="388">
        <f t="shared" si="13"/>
        <v>0</v>
      </c>
      <c r="BR6" s="388">
        <f t="shared" si="14"/>
        <v>0</v>
      </c>
      <c r="BS6" s="388">
        <f t="shared" si="15"/>
        <v>0</v>
      </c>
      <c r="BT6" s="388">
        <f t="shared" si="16"/>
        <v>0</v>
      </c>
      <c r="BU6" s="388">
        <f t="shared" si="17"/>
        <v>0</v>
      </c>
      <c r="BV6" s="388">
        <f t="shared" si="18"/>
        <v>0</v>
      </c>
      <c r="BW6" s="388">
        <f t="shared" si="19"/>
        <v>0</v>
      </c>
      <c r="BX6" s="388">
        <f t="shared" si="34"/>
        <v>0</v>
      </c>
      <c r="BY6" s="388">
        <f t="shared" si="35"/>
        <v>0</v>
      </c>
      <c r="BZ6" s="388">
        <f t="shared" si="36"/>
        <v>0</v>
      </c>
      <c r="CA6" s="388">
        <f t="shared" si="37"/>
        <v>0</v>
      </c>
      <c r="CB6" s="388">
        <f t="shared" si="38"/>
        <v>0</v>
      </c>
      <c r="CC6" s="388">
        <f t="shared" si="20"/>
        <v>0</v>
      </c>
      <c r="CD6" s="388">
        <f t="shared" si="21"/>
        <v>0</v>
      </c>
      <c r="CE6" s="388">
        <f t="shared" si="22"/>
        <v>0</v>
      </c>
      <c r="CF6" s="388">
        <f t="shared" si="23"/>
        <v>0</v>
      </c>
      <c r="CG6" s="388">
        <f t="shared" si="24"/>
        <v>0</v>
      </c>
      <c r="CH6" s="388">
        <f t="shared" si="25"/>
        <v>0</v>
      </c>
      <c r="CI6" s="388">
        <f t="shared" si="26"/>
        <v>0</v>
      </c>
      <c r="CJ6" s="388">
        <f t="shared" si="39"/>
        <v>0</v>
      </c>
      <c r="CK6" s="388" t="str">
        <f t="shared" si="40"/>
        <v/>
      </c>
      <c r="CL6" s="388" t="str">
        <f t="shared" si="41"/>
        <v/>
      </c>
      <c r="CM6" s="388" t="str">
        <f t="shared" si="42"/>
        <v/>
      </c>
      <c r="CN6" s="388" t="str">
        <f t="shared" si="43"/>
        <v>0001-00</v>
      </c>
    </row>
    <row r="7" spans="1:92" ht="15.75" thickBot="1">
      <c r="A7" s="377" t="s">
        <v>162</v>
      </c>
      <c r="B7" s="377" t="s">
        <v>163</v>
      </c>
      <c r="C7" s="377" t="s">
        <v>211</v>
      </c>
      <c r="D7" s="377" t="s">
        <v>212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213</v>
      </c>
      <c r="L7" s="377" t="s">
        <v>177</v>
      </c>
      <c r="M7" s="377" t="s">
        <v>189</v>
      </c>
      <c r="N7" s="377" t="s">
        <v>214</v>
      </c>
      <c r="O7" s="380">
        <v>0</v>
      </c>
      <c r="P7" s="386">
        <v>1</v>
      </c>
      <c r="Q7" s="386">
        <v>0</v>
      </c>
      <c r="R7" s="381">
        <v>0</v>
      </c>
      <c r="S7" s="386">
        <v>0</v>
      </c>
      <c r="T7" s="381">
        <v>0</v>
      </c>
      <c r="U7" s="381">
        <v>0</v>
      </c>
      <c r="V7" s="381">
        <v>0</v>
      </c>
      <c r="W7" s="381">
        <v>0</v>
      </c>
      <c r="X7" s="381">
        <v>0</v>
      </c>
      <c r="Y7" s="381">
        <v>0</v>
      </c>
      <c r="Z7" s="381">
        <v>0</v>
      </c>
      <c r="AA7" s="379"/>
      <c r="AB7" s="377" t="s">
        <v>45</v>
      </c>
      <c r="AC7" s="377" t="s">
        <v>45</v>
      </c>
      <c r="AD7" s="379"/>
      <c r="AE7" s="379"/>
      <c r="AF7" s="379"/>
      <c r="AG7" s="379"/>
      <c r="AH7" s="380">
        <v>0</v>
      </c>
      <c r="AI7" s="380">
        <v>0</v>
      </c>
      <c r="AJ7" s="379"/>
      <c r="AK7" s="379"/>
      <c r="AL7" s="377" t="s">
        <v>182</v>
      </c>
      <c r="AM7" s="379"/>
      <c r="AN7" s="379"/>
      <c r="AO7" s="380">
        <v>0</v>
      </c>
      <c r="AP7" s="386">
        <v>0</v>
      </c>
      <c r="AQ7" s="386">
        <v>0</v>
      </c>
      <c r="AR7" s="385"/>
      <c r="AS7" s="388">
        <f t="shared" si="27"/>
        <v>0</v>
      </c>
      <c r="AT7">
        <f t="shared" si="28"/>
        <v>0</v>
      </c>
      <c r="AU7" s="388" t="str">
        <f>IF(AT7=0,"",IF(AND(AT7=1,M7="F",SUMIF(C2:C112,C7,AS2:AS112)&lt;=1),SUMIF(C2:C112,C7,AS2:AS112),IF(AND(AT7=1,M7="F",SUMIF(C2:C112,C7,AS2:AS112)&gt;1),1,"")))</f>
        <v/>
      </c>
      <c r="AV7" s="388" t="str">
        <f>IF(AT7=0,"",IF(AND(AT7=3,M7="F",SUMIF(C2:C112,C7,AS2:AS112)&lt;=1),SUMIF(C2:C112,C7,AS2:AS112),IF(AND(AT7=3,M7="F",SUMIF(C2:C112,C7,AS2:AS112)&gt;1),1,"")))</f>
        <v/>
      </c>
      <c r="AW7" s="388">
        <f>SUMIF(C2:C112,C7,O2:O112)</f>
        <v>0</v>
      </c>
      <c r="AX7" s="388">
        <f>IF(AND(M7="F",AS7&lt;&gt;0),SUMIF(C2:C112,C7,W2:W112),0)</f>
        <v>0</v>
      </c>
      <c r="AY7" s="388" t="str">
        <f t="shared" si="29"/>
        <v/>
      </c>
      <c r="AZ7" s="388" t="str">
        <f t="shared" si="30"/>
        <v/>
      </c>
      <c r="BA7" s="388">
        <f t="shared" si="31"/>
        <v>0</v>
      </c>
      <c r="BB7" s="388">
        <f t="shared" si="0"/>
        <v>0</v>
      </c>
      <c r="BC7" s="388">
        <f t="shared" si="1"/>
        <v>0</v>
      </c>
      <c r="BD7" s="388">
        <f t="shared" si="2"/>
        <v>0</v>
      </c>
      <c r="BE7" s="388">
        <f t="shared" si="3"/>
        <v>0</v>
      </c>
      <c r="BF7" s="388">
        <f t="shared" si="4"/>
        <v>0</v>
      </c>
      <c r="BG7" s="388">
        <f t="shared" si="5"/>
        <v>0</v>
      </c>
      <c r="BH7" s="388">
        <f t="shared" si="6"/>
        <v>0</v>
      </c>
      <c r="BI7" s="388">
        <f t="shared" si="7"/>
        <v>0</v>
      </c>
      <c r="BJ7" s="388">
        <f t="shared" si="8"/>
        <v>0</v>
      </c>
      <c r="BK7" s="388">
        <f t="shared" si="9"/>
        <v>0</v>
      </c>
      <c r="BL7" s="388">
        <f t="shared" si="32"/>
        <v>0</v>
      </c>
      <c r="BM7" s="388">
        <f t="shared" si="33"/>
        <v>0</v>
      </c>
      <c r="BN7" s="388">
        <f t="shared" si="10"/>
        <v>0</v>
      </c>
      <c r="BO7" s="388">
        <f t="shared" si="11"/>
        <v>0</v>
      </c>
      <c r="BP7" s="388">
        <f t="shared" si="12"/>
        <v>0</v>
      </c>
      <c r="BQ7" s="388">
        <f t="shared" si="13"/>
        <v>0</v>
      </c>
      <c r="BR7" s="388">
        <f t="shared" si="14"/>
        <v>0</v>
      </c>
      <c r="BS7" s="388">
        <f t="shared" si="15"/>
        <v>0</v>
      </c>
      <c r="BT7" s="388">
        <f t="shared" si="16"/>
        <v>0</v>
      </c>
      <c r="BU7" s="388">
        <f t="shared" si="17"/>
        <v>0</v>
      </c>
      <c r="BV7" s="388">
        <f t="shared" si="18"/>
        <v>0</v>
      </c>
      <c r="BW7" s="388">
        <f t="shared" si="19"/>
        <v>0</v>
      </c>
      <c r="BX7" s="388">
        <f t="shared" si="34"/>
        <v>0</v>
      </c>
      <c r="BY7" s="388">
        <f t="shared" si="35"/>
        <v>0</v>
      </c>
      <c r="BZ7" s="388">
        <f t="shared" si="36"/>
        <v>0</v>
      </c>
      <c r="CA7" s="388">
        <f t="shared" si="37"/>
        <v>0</v>
      </c>
      <c r="CB7" s="388">
        <f t="shared" si="38"/>
        <v>0</v>
      </c>
      <c r="CC7" s="388">
        <f t="shared" si="20"/>
        <v>0</v>
      </c>
      <c r="CD7" s="388">
        <f t="shared" si="21"/>
        <v>0</v>
      </c>
      <c r="CE7" s="388">
        <f t="shared" si="22"/>
        <v>0</v>
      </c>
      <c r="CF7" s="388">
        <f t="shared" si="23"/>
        <v>0</v>
      </c>
      <c r="CG7" s="388">
        <f t="shared" si="24"/>
        <v>0</v>
      </c>
      <c r="CH7" s="388">
        <f t="shared" si="25"/>
        <v>0</v>
      </c>
      <c r="CI7" s="388">
        <f t="shared" si="26"/>
        <v>0</v>
      </c>
      <c r="CJ7" s="388">
        <f t="shared" si="39"/>
        <v>0</v>
      </c>
      <c r="CK7" s="388" t="str">
        <f t="shared" si="40"/>
        <v/>
      </c>
      <c r="CL7" s="388">
        <f t="shared" si="41"/>
        <v>0</v>
      </c>
      <c r="CM7" s="388">
        <f t="shared" si="42"/>
        <v>0</v>
      </c>
      <c r="CN7" s="388" t="str">
        <f t="shared" si="43"/>
        <v>0001-00</v>
      </c>
    </row>
    <row r="8" spans="1:92" ht="15.75" thickBot="1">
      <c r="A8" s="377" t="s">
        <v>162</v>
      </c>
      <c r="B8" s="377" t="s">
        <v>163</v>
      </c>
      <c r="C8" s="377" t="s">
        <v>215</v>
      </c>
      <c r="D8" s="377" t="s">
        <v>191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192</v>
      </c>
      <c r="K8" s="377" t="s">
        <v>216</v>
      </c>
      <c r="L8" s="377" t="s">
        <v>217</v>
      </c>
      <c r="M8" s="377" t="s">
        <v>172</v>
      </c>
      <c r="N8" s="377" t="s">
        <v>173</v>
      </c>
      <c r="O8" s="380">
        <v>1</v>
      </c>
      <c r="P8" s="386">
        <v>0.75</v>
      </c>
      <c r="Q8" s="386">
        <v>0.75</v>
      </c>
      <c r="R8" s="381">
        <v>80</v>
      </c>
      <c r="S8" s="386">
        <v>0.75</v>
      </c>
      <c r="T8" s="381">
        <v>57769.88</v>
      </c>
      <c r="U8" s="381">
        <v>0</v>
      </c>
      <c r="V8" s="381">
        <v>21314.92</v>
      </c>
      <c r="W8" s="381">
        <v>56362.8</v>
      </c>
      <c r="X8" s="381">
        <v>21563.43</v>
      </c>
      <c r="Y8" s="381">
        <v>56362.8</v>
      </c>
      <c r="Z8" s="381">
        <v>21988.03</v>
      </c>
      <c r="AA8" s="377" t="s">
        <v>218</v>
      </c>
      <c r="AB8" s="377" t="s">
        <v>219</v>
      </c>
      <c r="AC8" s="377" t="s">
        <v>220</v>
      </c>
      <c r="AD8" s="377" t="s">
        <v>221</v>
      </c>
      <c r="AE8" s="377" t="s">
        <v>216</v>
      </c>
      <c r="AF8" s="377" t="s">
        <v>222</v>
      </c>
      <c r="AG8" s="377" t="s">
        <v>179</v>
      </c>
      <c r="AH8" s="382">
        <v>36.130000000000003</v>
      </c>
      <c r="AI8" s="382">
        <v>19680.2</v>
      </c>
      <c r="AJ8" s="377" t="s">
        <v>180</v>
      </c>
      <c r="AK8" s="377" t="s">
        <v>181</v>
      </c>
      <c r="AL8" s="377" t="s">
        <v>182</v>
      </c>
      <c r="AM8" s="377" t="s">
        <v>183</v>
      </c>
      <c r="AN8" s="377" t="s">
        <v>66</v>
      </c>
      <c r="AO8" s="380">
        <v>80</v>
      </c>
      <c r="AP8" s="386">
        <v>1</v>
      </c>
      <c r="AQ8" s="386">
        <v>0.75</v>
      </c>
      <c r="AR8" s="384" t="s">
        <v>184</v>
      </c>
      <c r="AS8" s="388">
        <f t="shared" si="27"/>
        <v>0.75</v>
      </c>
      <c r="AT8">
        <f t="shared" si="28"/>
        <v>1</v>
      </c>
      <c r="AU8" s="388">
        <f>IF(AT8=0,"",IF(AND(AT8=1,M8="F",SUMIF(C2:C112,C8,AS2:AS112)&lt;=1),SUMIF(C2:C112,C8,AS2:AS112),IF(AND(AT8=1,M8="F",SUMIF(C2:C112,C8,AS2:AS112)&gt;1),1,"")))</f>
        <v>1</v>
      </c>
      <c r="AV8" s="388" t="str">
        <f>IF(AT8=0,"",IF(AND(AT8=3,M8="F",SUMIF(C2:C112,C8,AS2:AS112)&lt;=1),SUMIF(C2:C112,C8,AS2:AS112),IF(AND(AT8=3,M8="F",SUMIF(C2:C112,C8,AS2:AS112)&gt;1),1,"")))</f>
        <v/>
      </c>
      <c r="AW8" s="388">
        <f>SUMIF(C2:C112,C8,O2:O112)</f>
        <v>2</v>
      </c>
      <c r="AX8" s="388">
        <f>IF(AND(M8="F",AS8&lt;&gt;0),SUMIF(C2:C112,C8,W2:W112),0)</f>
        <v>75150.399999999994</v>
      </c>
      <c r="AY8" s="388">
        <f t="shared" si="29"/>
        <v>56362.8</v>
      </c>
      <c r="AZ8" s="388" t="str">
        <f t="shared" si="30"/>
        <v/>
      </c>
      <c r="BA8" s="388">
        <f t="shared" si="31"/>
        <v>0</v>
      </c>
      <c r="BB8" s="388">
        <f t="shared" si="0"/>
        <v>9375</v>
      </c>
      <c r="BC8" s="388">
        <f t="shared" si="1"/>
        <v>0</v>
      </c>
      <c r="BD8" s="388">
        <f t="shared" si="2"/>
        <v>3494.4936000000002</v>
      </c>
      <c r="BE8" s="388">
        <f t="shared" si="3"/>
        <v>817.26060000000007</v>
      </c>
      <c r="BF8" s="388">
        <f t="shared" si="4"/>
        <v>6729.7183200000009</v>
      </c>
      <c r="BG8" s="388">
        <f t="shared" si="5"/>
        <v>406.37578800000006</v>
      </c>
      <c r="BH8" s="388">
        <f t="shared" si="6"/>
        <v>0</v>
      </c>
      <c r="BI8" s="388">
        <f t="shared" si="7"/>
        <v>311.968098</v>
      </c>
      <c r="BJ8" s="388">
        <f t="shared" si="8"/>
        <v>428.35728</v>
      </c>
      <c r="BK8" s="388">
        <f t="shared" si="9"/>
        <v>0</v>
      </c>
      <c r="BL8" s="388">
        <f t="shared" si="32"/>
        <v>12188.173686</v>
      </c>
      <c r="BM8" s="388">
        <f t="shared" si="33"/>
        <v>0</v>
      </c>
      <c r="BN8" s="388">
        <f t="shared" si="10"/>
        <v>10312.5</v>
      </c>
      <c r="BO8" s="388">
        <f t="shared" si="11"/>
        <v>0</v>
      </c>
      <c r="BP8" s="388">
        <f t="shared" si="12"/>
        <v>3494.4936000000002</v>
      </c>
      <c r="BQ8" s="388">
        <f t="shared" si="13"/>
        <v>817.26060000000007</v>
      </c>
      <c r="BR8" s="388">
        <f t="shared" si="14"/>
        <v>6301.3610399999998</v>
      </c>
      <c r="BS8" s="388">
        <f t="shared" si="15"/>
        <v>406.37578800000006</v>
      </c>
      <c r="BT8" s="388">
        <f t="shared" si="16"/>
        <v>0</v>
      </c>
      <c r="BU8" s="388">
        <f t="shared" si="17"/>
        <v>311.968098</v>
      </c>
      <c r="BV8" s="388">
        <f t="shared" si="18"/>
        <v>343.81308000000001</v>
      </c>
      <c r="BW8" s="388">
        <f t="shared" si="19"/>
        <v>0</v>
      </c>
      <c r="BX8" s="388">
        <f t="shared" si="34"/>
        <v>11675.272205999998</v>
      </c>
      <c r="BY8" s="388">
        <f t="shared" si="35"/>
        <v>0</v>
      </c>
      <c r="BZ8" s="388">
        <f t="shared" si="36"/>
        <v>937.5</v>
      </c>
      <c r="CA8" s="388">
        <f t="shared" si="37"/>
        <v>0</v>
      </c>
      <c r="CB8" s="388">
        <f t="shared" si="38"/>
        <v>0</v>
      </c>
      <c r="CC8" s="388">
        <f t="shared" si="20"/>
        <v>0</v>
      </c>
      <c r="CD8" s="388">
        <f t="shared" si="21"/>
        <v>-428.35728000000057</v>
      </c>
      <c r="CE8" s="388">
        <f t="shared" si="22"/>
        <v>0</v>
      </c>
      <c r="CF8" s="388">
        <f t="shared" si="23"/>
        <v>0</v>
      </c>
      <c r="CG8" s="388">
        <f t="shared" si="24"/>
        <v>0</v>
      </c>
      <c r="CH8" s="388">
        <f t="shared" si="25"/>
        <v>-84.544199999999975</v>
      </c>
      <c r="CI8" s="388">
        <f t="shared" si="26"/>
        <v>0</v>
      </c>
      <c r="CJ8" s="388">
        <f t="shared" si="39"/>
        <v>-512.90148000000056</v>
      </c>
      <c r="CK8" s="388" t="str">
        <f t="shared" si="40"/>
        <v/>
      </c>
      <c r="CL8" s="388" t="str">
        <f t="shared" si="41"/>
        <v/>
      </c>
      <c r="CM8" s="388" t="str">
        <f t="shared" si="42"/>
        <v/>
      </c>
      <c r="CN8" s="388" t="str">
        <f t="shared" si="43"/>
        <v>0001-00</v>
      </c>
    </row>
    <row r="9" spans="1:92" ht="15.75" thickBot="1">
      <c r="A9" s="377" t="s">
        <v>162</v>
      </c>
      <c r="B9" s="377" t="s">
        <v>163</v>
      </c>
      <c r="C9" s="377" t="s">
        <v>223</v>
      </c>
      <c r="D9" s="377" t="s">
        <v>224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225</v>
      </c>
      <c r="L9" s="377" t="s">
        <v>167</v>
      </c>
      <c r="M9" s="377" t="s">
        <v>172</v>
      </c>
      <c r="N9" s="377" t="s">
        <v>226</v>
      </c>
      <c r="O9" s="380">
        <v>1</v>
      </c>
      <c r="P9" s="386">
        <v>1</v>
      </c>
      <c r="Q9" s="386">
        <v>1</v>
      </c>
      <c r="R9" s="381">
        <v>80</v>
      </c>
      <c r="S9" s="386">
        <v>1</v>
      </c>
      <c r="T9" s="381">
        <v>113136</v>
      </c>
      <c r="U9" s="381">
        <v>0</v>
      </c>
      <c r="V9" s="381">
        <v>34733.68</v>
      </c>
      <c r="W9" s="381">
        <v>119995.2</v>
      </c>
      <c r="X9" s="381">
        <v>37784.17</v>
      </c>
      <c r="Y9" s="381">
        <v>119995.2</v>
      </c>
      <c r="Z9" s="381">
        <v>37942.22</v>
      </c>
      <c r="AA9" s="377" t="s">
        <v>227</v>
      </c>
      <c r="AB9" s="377" t="s">
        <v>228</v>
      </c>
      <c r="AC9" s="377" t="s">
        <v>229</v>
      </c>
      <c r="AD9" s="377" t="s">
        <v>230</v>
      </c>
      <c r="AE9" s="377" t="s">
        <v>225</v>
      </c>
      <c r="AF9" s="377" t="s">
        <v>231</v>
      </c>
      <c r="AG9" s="377" t="s">
        <v>179</v>
      </c>
      <c r="AH9" s="382">
        <v>57.69</v>
      </c>
      <c r="AI9" s="382">
        <v>31431.7</v>
      </c>
      <c r="AJ9" s="377" t="s">
        <v>180</v>
      </c>
      <c r="AK9" s="377" t="s">
        <v>181</v>
      </c>
      <c r="AL9" s="377" t="s">
        <v>182</v>
      </c>
      <c r="AM9" s="377" t="s">
        <v>182</v>
      </c>
      <c r="AN9" s="377" t="s">
        <v>66</v>
      </c>
      <c r="AO9" s="380">
        <v>80</v>
      </c>
      <c r="AP9" s="386">
        <v>1</v>
      </c>
      <c r="AQ9" s="386">
        <v>1</v>
      </c>
      <c r="AR9" s="384" t="s">
        <v>184</v>
      </c>
      <c r="AS9" s="388">
        <f t="shared" si="27"/>
        <v>1</v>
      </c>
      <c r="AT9">
        <f t="shared" si="28"/>
        <v>1</v>
      </c>
      <c r="AU9" s="388">
        <f>IF(AT9=0,"",IF(AND(AT9=1,M9="F",SUMIF(C2:C112,C9,AS2:AS112)&lt;=1),SUMIF(C2:C112,C9,AS2:AS112),IF(AND(AT9=1,M9="F",SUMIF(C2:C112,C9,AS2:AS112)&gt;1),1,"")))</f>
        <v>1</v>
      </c>
      <c r="AV9" s="388" t="str">
        <f>IF(AT9=0,"",IF(AND(AT9=3,M9="F",SUMIF(C2:C112,C9,AS2:AS112)&lt;=1),SUMIF(C2:C112,C9,AS2:AS112),IF(AND(AT9=3,M9="F",SUMIF(C2:C112,C9,AS2:AS112)&gt;1),1,"")))</f>
        <v/>
      </c>
      <c r="AW9" s="388">
        <f>SUMIF(C2:C112,C9,O2:O112)</f>
        <v>1</v>
      </c>
      <c r="AX9" s="388">
        <f>IF(AND(M9="F",AS9&lt;&gt;0),SUMIF(C2:C112,C9,W2:W112),0)</f>
        <v>119995.2</v>
      </c>
      <c r="AY9" s="388">
        <f t="shared" si="29"/>
        <v>119995.2</v>
      </c>
      <c r="AZ9" s="388" t="str">
        <f t="shared" si="30"/>
        <v/>
      </c>
      <c r="BA9" s="388">
        <f t="shared" si="31"/>
        <v>0</v>
      </c>
      <c r="BB9" s="388">
        <f t="shared" si="0"/>
        <v>12500</v>
      </c>
      <c r="BC9" s="388">
        <f t="shared" si="1"/>
        <v>0</v>
      </c>
      <c r="BD9" s="388">
        <f t="shared" si="2"/>
        <v>7439.7024000000001</v>
      </c>
      <c r="BE9" s="388">
        <f t="shared" si="3"/>
        <v>1739.9304</v>
      </c>
      <c r="BF9" s="388">
        <f t="shared" si="4"/>
        <v>14327.426880000001</v>
      </c>
      <c r="BG9" s="388">
        <f t="shared" si="5"/>
        <v>865.165392</v>
      </c>
      <c r="BH9" s="388">
        <f t="shared" si="6"/>
        <v>0</v>
      </c>
      <c r="BI9" s="388">
        <f t="shared" si="7"/>
        <v>0</v>
      </c>
      <c r="BJ9" s="388">
        <f t="shared" si="8"/>
        <v>911.96352000000002</v>
      </c>
      <c r="BK9" s="388">
        <f t="shared" si="9"/>
        <v>0</v>
      </c>
      <c r="BL9" s="388">
        <f t="shared" si="32"/>
        <v>25284.188591999999</v>
      </c>
      <c r="BM9" s="388">
        <f t="shared" si="33"/>
        <v>0</v>
      </c>
      <c r="BN9" s="388">
        <f t="shared" si="10"/>
        <v>13750</v>
      </c>
      <c r="BO9" s="388">
        <f t="shared" si="11"/>
        <v>0</v>
      </c>
      <c r="BP9" s="388">
        <f t="shared" si="12"/>
        <v>7439.7024000000001</v>
      </c>
      <c r="BQ9" s="388">
        <f t="shared" si="13"/>
        <v>1739.9304</v>
      </c>
      <c r="BR9" s="388">
        <f t="shared" si="14"/>
        <v>13415.46336</v>
      </c>
      <c r="BS9" s="388">
        <f t="shared" si="15"/>
        <v>865.165392</v>
      </c>
      <c r="BT9" s="388">
        <f t="shared" si="16"/>
        <v>0</v>
      </c>
      <c r="BU9" s="388">
        <f t="shared" si="17"/>
        <v>0</v>
      </c>
      <c r="BV9" s="388">
        <f t="shared" si="18"/>
        <v>731.97072000000003</v>
      </c>
      <c r="BW9" s="388">
        <f t="shared" si="19"/>
        <v>0</v>
      </c>
      <c r="BX9" s="388">
        <f t="shared" si="34"/>
        <v>24192.232272000001</v>
      </c>
      <c r="BY9" s="388">
        <f t="shared" si="35"/>
        <v>0</v>
      </c>
      <c r="BZ9" s="388">
        <f t="shared" si="36"/>
        <v>1250</v>
      </c>
      <c r="CA9" s="388">
        <f t="shared" si="37"/>
        <v>0</v>
      </c>
      <c r="CB9" s="388">
        <f t="shared" si="38"/>
        <v>0</v>
      </c>
      <c r="CC9" s="388">
        <f t="shared" si="20"/>
        <v>0</v>
      </c>
      <c r="CD9" s="388">
        <f t="shared" si="21"/>
        <v>-911.96352000000115</v>
      </c>
      <c r="CE9" s="388">
        <f t="shared" si="22"/>
        <v>0</v>
      </c>
      <c r="CF9" s="388">
        <f t="shared" si="23"/>
        <v>0</v>
      </c>
      <c r="CG9" s="388">
        <f t="shared" si="24"/>
        <v>0</v>
      </c>
      <c r="CH9" s="388">
        <f t="shared" si="25"/>
        <v>-179.99279999999996</v>
      </c>
      <c r="CI9" s="388">
        <f t="shared" si="26"/>
        <v>0</v>
      </c>
      <c r="CJ9" s="388">
        <f t="shared" si="39"/>
        <v>-1091.9563200000011</v>
      </c>
      <c r="CK9" s="388" t="str">
        <f t="shared" si="40"/>
        <v/>
      </c>
      <c r="CL9" s="388" t="str">
        <f t="shared" si="41"/>
        <v/>
      </c>
      <c r="CM9" s="388" t="str">
        <f t="shared" si="42"/>
        <v/>
      </c>
      <c r="CN9" s="388" t="str">
        <f t="shared" si="43"/>
        <v>0001-00</v>
      </c>
    </row>
    <row r="10" spans="1:92" ht="15.75" thickBot="1">
      <c r="A10" s="377" t="s">
        <v>162</v>
      </c>
      <c r="B10" s="377" t="s">
        <v>163</v>
      </c>
      <c r="C10" s="377" t="s">
        <v>232</v>
      </c>
      <c r="D10" s="377" t="s">
        <v>233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169</v>
      </c>
      <c r="K10" s="377" t="s">
        <v>234</v>
      </c>
      <c r="L10" s="377" t="s">
        <v>177</v>
      </c>
      <c r="M10" s="377" t="s">
        <v>172</v>
      </c>
      <c r="N10" s="377" t="s">
        <v>173</v>
      </c>
      <c r="O10" s="380">
        <v>1</v>
      </c>
      <c r="P10" s="386">
        <v>1</v>
      </c>
      <c r="Q10" s="386">
        <v>1</v>
      </c>
      <c r="R10" s="381">
        <v>80</v>
      </c>
      <c r="S10" s="386">
        <v>1</v>
      </c>
      <c r="T10" s="381">
        <v>52819.199999999997</v>
      </c>
      <c r="U10" s="381">
        <v>0</v>
      </c>
      <c r="V10" s="381">
        <v>23024.94</v>
      </c>
      <c r="W10" s="381">
        <v>55224</v>
      </c>
      <c r="X10" s="381">
        <v>24442.16</v>
      </c>
      <c r="Y10" s="381">
        <v>55224</v>
      </c>
      <c r="Z10" s="381">
        <v>25189.62</v>
      </c>
      <c r="AA10" s="377" t="s">
        <v>235</v>
      </c>
      <c r="AB10" s="377" t="s">
        <v>236</v>
      </c>
      <c r="AC10" s="377" t="s">
        <v>176</v>
      </c>
      <c r="AD10" s="377" t="s">
        <v>181</v>
      </c>
      <c r="AE10" s="377" t="s">
        <v>234</v>
      </c>
      <c r="AF10" s="377" t="s">
        <v>237</v>
      </c>
      <c r="AG10" s="377" t="s">
        <v>179</v>
      </c>
      <c r="AH10" s="382">
        <v>26.55</v>
      </c>
      <c r="AI10" s="382">
        <v>7175.5</v>
      </c>
      <c r="AJ10" s="377" t="s">
        <v>180</v>
      </c>
      <c r="AK10" s="377" t="s">
        <v>181</v>
      </c>
      <c r="AL10" s="377" t="s">
        <v>182</v>
      </c>
      <c r="AM10" s="377" t="s">
        <v>183</v>
      </c>
      <c r="AN10" s="377" t="s">
        <v>66</v>
      </c>
      <c r="AO10" s="380">
        <v>80</v>
      </c>
      <c r="AP10" s="386">
        <v>1</v>
      </c>
      <c r="AQ10" s="386">
        <v>1</v>
      </c>
      <c r="AR10" s="384" t="s">
        <v>184</v>
      </c>
      <c r="AS10" s="388">
        <f t="shared" si="27"/>
        <v>1</v>
      </c>
      <c r="AT10">
        <f t="shared" si="28"/>
        <v>1</v>
      </c>
      <c r="AU10" s="388">
        <f>IF(AT10=0,"",IF(AND(AT10=1,M10="F",SUMIF(C2:C112,C10,AS2:AS112)&lt;=1),SUMIF(C2:C112,C10,AS2:AS112),IF(AND(AT10=1,M10="F",SUMIF(C2:C112,C10,AS2:AS112)&gt;1),1,"")))</f>
        <v>1</v>
      </c>
      <c r="AV10" s="388" t="str">
        <f>IF(AT10=0,"",IF(AND(AT10=3,M10="F",SUMIF(C2:C112,C10,AS2:AS112)&lt;=1),SUMIF(C2:C112,C10,AS2:AS112),IF(AND(AT10=3,M10="F",SUMIF(C2:C112,C10,AS2:AS112)&gt;1),1,"")))</f>
        <v/>
      </c>
      <c r="AW10" s="388">
        <f>SUMIF(C2:C112,C10,O2:O112)</f>
        <v>1</v>
      </c>
      <c r="AX10" s="388">
        <f>IF(AND(M10="F",AS10&lt;&gt;0),SUMIF(C2:C112,C10,W2:W112),0)</f>
        <v>55224</v>
      </c>
      <c r="AY10" s="388">
        <f t="shared" si="29"/>
        <v>55224</v>
      </c>
      <c r="AZ10" s="388" t="str">
        <f t="shared" si="30"/>
        <v/>
      </c>
      <c r="BA10" s="388">
        <f t="shared" si="31"/>
        <v>0</v>
      </c>
      <c r="BB10" s="388">
        <f t="shared" si="0"/>
        <v>12500</v>
      </c>
      <c r="BC10" s="388">
        <f t="shared" si="1"/>
        <v>0</v>
      </c>
      <c r="BD10" s="388">
        <f t="shared" si="2"/>
        <v>3423.8879999999999</v>
      </c>
      <c r="BE10" s="388">
        <f t="shared" si="3"/>
        <v>800.74800000000005</v>
      </c>
      <c r="BF10" s="388">
        <f t="shared" si="4"/>
        <v>6593.7456000000002</v>
      </c>
      <c r="BG10" s="388">
        <f t="shared" si="5"/>
        <v>398.16504000000003</v>
      </c>
      <c r="BH10" s="388">
        <f t="shared" si="6"/>
        <v>0</v>
      </c>
      <c r="BI10" s="388">
        <f t="shared" si="7"/>
        <v>305.66484000000003</v>
      </c>
      <c r="BJ10" s="388">
        <f t="shared" si="8"/>
        <v>419.70240000000001</v>
      </c>
      <c r="BK10" s="388">
        <f t="shared" si="9"/>
        <v>0</v>
      </c>
      <c r="BL10" s="388">
        <f t="shared" si="32"/>
        <v>11941.91388</v>
      </c>
      <c r="BM10" s="388">
        <f t="shared" si="33"/>
        <v>0</v>
      </c>
      <c r="BN10" s="388">
        <f t="shared" si="10"/>
        <v>13750</v>
      </c>
      <c r="BO10" s="388">
        <f t="shared" si="11"/>
        <v>0</v>
      </c>
      <c r="BP10" s="388">
        <f t="shared" si="12"/>
        <v>3423.8879999999999</v>
      </c>
      <c r="BQ10" s="388">
        <f t="shared" si="13"/>
        <v>800.74800000000005</v>
      </c>
      <c r="BR10" s="388">
        <f t="shared" si="14"/>
        <v>6174.0432000000001</v>
      </c>
      <c r="BS10" s="388">
        <f t="shared" si="15"/>
        <v>398.16504000000003</v>
      </c>
      <c r="BT10" s="388">
        <f t="shared" si="16"/>
        <v>0</v>
      </c>
      <c r="BU10" s="388">
        <f t="shared" si="17"/>
        <v>305.66484000000003</v>
      </c>
      <c r="BV10" s="388">
        <f t="shared" si="18"/>
        <v>336.8664</v>
      </c>
      <c r="BW10" s="388">
        <f t="shared" si="19"/>
        <v>0</v>
      </c>
      <c r="BX10" s="388">
        <f t="shared" si="34"/>
        <v>11439.375480000001</v>
      </c>
      <c r="BY10" s="388">
        <f t="shared" si="35"/>
        <v>0</v>
      </c>
      <c r="BZ10" s="388">
        <f t="shared" si="36"/>
        <v>1250</v>
      </c>
      <c r="CA10" s="388">
        <f t="shared" si="37"/>
        <v>0</v>
      </c>
      <c r="CB10" s="388">
        <f t="shared" si="38"/>
        <v>0</v>
      </c>
      <c r="CC10" s="388">
        <f t="shared" si="20"/>
        <v>0</v>
      </c>
      <c r="CD10" s="388">
        <f t="shared" si="21"/>
        <v>-419.70240000000052</v>
      </c>
      <c r="CE10" s="388">
        <f t="shared" si="22"/>
        <v>0</v>
      </c>
      <c r="CF10" s="388">
        <f t="shared" si="23"/>
        <v>0</v>
      </c>
      <c r="CG10" s="388">
        <f t="shared" si="24"/>
        <v>0</v>
      </c>
      <c r="CH10" s="388">
        <f t="shared" si="25"/>
        <v>-82.835999999999984</v>
      </c>
      <c r="CI10" s="388">
        <f t="shared" si="26"/>
        <v>0</v>
      </c>
      <c r="CJ10" s="388">
        <f t="shared" si="39"/>
        <v>-502.53840000000048</v>
      </c>
      <c r="CK10" s="388" t="str">
        <f t="shared" si="40"/>
        <v/>
      </c>
      <c r="CL10" s="388" t="str">
        <f t="shared" si="41"/>
        <v/>
      </c>
      <c r="CM10" s="388" t="str">
        <f t="shared" si="42"/>
        <v/>
      </c>
      <c r="CN10" s="388" t="str">
        <f t="shared" si="43"/>
        <v>0001-00</v>
      </c>
    </row>
    <row r="11" spans="1:92" ht="15.75" thickBot="1">
      <c r="A11" s="377" t="s">
        <v>162</v>
      </c>
      <c r="B11" s="377" t="s">
        <v>163</v>
      </c>
      <c r="C11" s="377" t="s">
        <v>238</v>
      </c>
      <c r="D11" s="377" t="s">
        <v>212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169</v>
      </c>
      <c r="K11" s="377" t="s">
        <v>213</v>
      </c>
      <c r="L11" s="377" t="s">
        <v>177</v>
      </c>
      <c r="M11" s="377" t="s">
        <v>172</v>
      </c>
      <c r="N11" s="377" t="s">
        <v>173</v>
      </c>
      <c r="O11" s="380">
        <v>1</v>
      </c>
      <c r="P11" s="386">
        <v>1</v>
      </c>
      <c r="Q11" s="386">
        <v>1</v>
      </c>
      <c r="R11" s="381">
        <v>80</v>
      </c>
      <c r="S11" s="386">
        <v>1</v>
      </c>
      <c r="T11" s="381">
        <v>49629.3</v>
      </c>
      <c r="U11" s="381">
        <v>0</v>
      </c>
      <c r="V11" s="381">
        <v>22355.23</v>
      </c>
      <c r="W11" s="381">
        <v>54121.599999999999</v>
      </c>
      <c r="X11" s="381">
        <v>24203.759999999998</v>
      </c>
      <c r="Y11" s="381">
        <v>54121.599999999999</v>
      </c>
      <c r="Z11" s="381">
        <v>24961.26</v>
      </c>
      <c r="AA11" s="377" t="s">
        <v>239</v>
      </c>
      <c r="AB11" s="377" t="s">
        <v>240</v>
      </c>
      <c r="AC11" s="377" t="s">
        <v>241</v>
      </c>
      <c r="AD11" s="377" t="s">
        <v>177</v>
      </c>
      <c r="AE11" s="377" t="s">
        <v>213</v>
      </c>
      <c r="AF11" s="377" t="s">
        <v>237</v>
      </c>
      <c r="AG11" s="377" t="s">
        <v>179</v>
      </c>
      <c r="AH11" s="382">
        <v>26.02</v>
      </c>
      <c r="AI11" s="382">
        <v>8411.6</v>
      </c>
      <c r="AJ11" s="377" t="s">
        <v>180</v>
      </c>
      <c r="AK11" s="377" t="s">
        <v>181</v>
      </c>
      <c r="AL11" s="377" t="s">
        <v>182</v>
      </c>
      <c r="AM11" s="377" t="s">
        <v>183</v>
      </c>
      <c r="AN11" s="377" t="s">
        <v>66</v>
      </c>
      <c r="AO11" s="380">
        <v>80</v>
      </c>
      <c r="AP11" s="386">
        <v>1</v>
      </c>
      <c r="AQ11" s="386">
        <v>1</v>
      </c>
      <c r="AR11" s="384" t="s">
        <v>184</v>
      </c>
      <c r="AS11" s="388">
        <f t="shared" si="27"/>
        <v>1</v>
      </c>
      <c r="AT11">
        <f t="shared" si="28"/>
        <v>1</v>
      </c>
      <c r="AU11" s="388">
        <f>IF(AT11=0,"",IF(AND(AT11=1,M11="F",SUMIF(C2:C112,C11,AS2:AS112)&lt;=1),SUMIF(C2:C112,C11,AS2:AS112),IF(AND(AT11=1,M11="F",SUMIF(C2:C112,C11,AS2:AS112)&gt;1),1,"")))</f>
        <v>1</v>
      </c>
      <c r="AV11" s="388" t="str">
        <f>IF(AT11=0,"",IF(AND(AT11=3,M11="F",SUMIF(C2:C112,C11,AS2:AS112)&lt;=1),SUMIF(C2:C112,C11,AS2:AS112),IF(AND(AT11=3,M11="F",SUMIF(C2:C112,C11,AS2:AS112)&gt;1),1,"")))</f>
        <v/>
      </c>
      <c r="AW11" s="388">
        <f>SUMIF(C2:C112,C11,O2:O112)</f>
        <v>1</v>
      </c>
      <c r="AX11" s="388">
        <f>IF(AND(M11="F",AS11&lt;&gt;0),SUMIF(C2:C112,C11,W2:W112),0)</f>
        <v>54121.599999999999</v>
      </c>
      <c r="AY11" s="388">
        <f t="shared" si="29"/>
        <v>54121.599999999999</v>
      </c>
      <c r="AZ11" s="388" t="str">
        <f t="shared" si="30"/>
        <v/>
      </c>
      <c r="BA11" s="388">
        <f t="shared" si="31"/>
        <v>0</v>
      </c>
      <c r="BB11" s="388">
        <f t="shared" si="0"/>
        <v>12500</v>
      </c>
      <c r="BC11" s="388">
        <f t="shared" si="1"/>
        <v>0</v>
      </c>
      <c r="BD11" s="388">
        <f t="shared" si="2"/>
        <v>3355.5391999999997</v>
      </c>
      <c r="BE11" s="388">
        <f t="shared" si="3"/>
        <v>784.76319999999998</v>
      </c>
      <c r="BF11" s="388">
        <f t="shared" si="4"/>
        <v>6462.1190400000005</v>
      </c>
      <c r="BG11" s="388">
        <f t="shared" si="5"/>
        <v>390.21673600000003</v>
      </c>
      <c r="BH11" s="388">
        <f t="shared" si="6"/>
        <v>0</v>
      </c>
      <c r="BI11" s="388">
        <f t="shared" si="7"/>
        <v>299.56305600000002</v>
      </c>
      <c r="BJ11" s="388">
        <f t="shared" si="8"/>
        <v>411.32416000000001</v>
      </c>
      <c r="BK11" s="388">
        <f t="shared" si="9"/>
        <v>0</v>
      </c>
      <c r="BL11" s="388">
        <f t="shared" si="32"/>
        <v>11703.525392000001</v>
      </c>
      <c r="BM11" s="388">
        <f t="shared" si="33"/>
        <v>0</v>
      </c>
      <c r="BN11" s="388">
        <f t="shared" si="10"/>
        <v>13750</v>
      </c>
      <c r="BO11" s="388">
        <f t="shared" si="11"/>
        <v>0</v>
      </c>
      <c r="BP11" s="388">
        <f t="shared" si="12"/>
        <v>3355.5391999999997</v>
      </c>
      <c r="BQ11" s="388">
        <f t="shared" si="13"/>
        <v>784.76319999999998</v>
      </c>
      <c r="BR11" s="388">
        <f t="shared" si="14"/>
        <v>6050.7948799999995</v>
      </c>
      <c r="BS11" s="388">
        <f t="shared" si="15"/>
        <v>390.21673600000003</v>
      </c>
      <c r="BT11" s="388">
        <f t="shared" si="16"/>
        <v>0</v>
      </c>
      <c r="BU11" s="388">
        <f t="shared" si="17"/>
        <v>299.56305600000002</v>
      </c>
      <c r="BV11" s="388">
        <f t="shared" si="18"/>
        <v>330.14176000000003</v>
      </c>
      <c r="BW11" s="388">
        <f t="shared" si="19"/>
        <v>0</v>
      </c>
      <c r="BX11" s="388">
        <f t="shared" si="34"/>
        <v>11211.018832</v>
      </c>
      <c r="BY11" s="388">
        <f t="shared" si="35"/>
        <v>0</v>
      </c>
      <c r="BZ11" s="388">
        <f t="shared" si="36"/>
        <v>1250</v>
      </c>
      <c r="CA11" s="388">
        <f t="shared" si="37"/>
        <v>0</v>
      </c>
      <c r="CB11" s="388">
        <f t="shared" si="38"/>
        <v>0</v>
      </c>
      <c r="CC11" s="388">
        <f t="shared" si="20"/>
        <v>0</v>
      </c>
      <c r="CD11" s="388">
        <f t="shared" si="21"/>
        <v>-411.32416000000052</v>
      </c>
      <c r="CE11" s="388">
        <f t="shared" si="22"/>
        <v>0</v>
      </c>
      <c r="CF11" s="388">
        <f t="shared" si="23"/>
        <v>0</v>
      </c>
      <c r="CG11" s="388">
        <f t="shared" si="24"/>
        <v>0</v>
      </c>
      <c r="CH11" s="388">
        <f t="shared" si="25"/>
        <v>-81.182399999999973</v>
      </c>
      <c r="CI11" s="388">
        <f t="shared" si="26"/>
        <v>0</v>
      </c>
      <c r="CJ11" s="388">
        <f t="shared" si="39"/>
        <v>-492.50656000000049</v>
      </c>
      <c r="CK11" s="388" t="str">
        <f t="shared" si="40"/>
        <v/>
      </c>
      <c r="CL11" s="388" t="str">
        <f t="shared" si="41"/>
        <v/>
      </c>
      <c r="CM11" s="388" t="str">
        <f t="shared" si="42"/>
        <v/>
      </c>
      <c r="CN11" s="388" t="str">
        <f t="shared" si="43"/>
        <v>0001-00</v>
      </c>
    </row>
    <row r="12" spans="1:92" ht="15.75" thickBot="1">
      <c r="A12" s="377" t="s">
        <v>162</v>
      </c>
      <c r="B12" s="377" t="s">
        <v>163</v>
      </c>
      <c r="C12" s="377" t="s">
        <v>242</v>
      </c>
      <c r="D12" s="377" t="s">
        <v>243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244</v>
      </c>
      <c r="L12" s="377" t="s">
        <v>177</v>
      </c>
      <c r="M12" s="377" t="s">
        <v>172</v>
      </c>
      <c r="N12" s="377" t="s">
        <v>173</v>
      </c>
      <c r="O12" s="380">
        <v>1</v>
      </c>
      <c r="P12" s="386">
        <v>1</v>
      </c>
      <c r="Q12" s="386">
        <v>1</v>
      </c>
      <c r="R12" s="381">
        <v>80</v>
      </c>
      <c r="S12" s="386">
        <v>1</v>
      </c>
      <c r="T12" s="381">
        <v>49463.68</v>
      </c>
      <c r="U12" s="381">
        <v>80.44</v>
      </c>
      <c r="V12" s="381">
        <v>24341.85</v>
      </c>
      <c r="W12" s="381">
        <v>54641.599999999999</v>
      </c>
      <c r="X12" s="381">
        <v>24316.21</v>
      </c>
      <c r="Y12" s="381">
        <v>54641.599999999999</v>
      </c>
      <c r="Z12" s="381">
        <v>25068.98</v>
      </c>
      <c r="AA12" s="377" t="s">
        <v>245</v>
      </c>
      <c r="AB12" s="377" t="s">
        <v>246</v>
      </c>
      <c r="AC12" s="377" t="s">
        <v>247</v>
      </c>
      <c r="AD12" s="377" t="s">
        <v>217</v>
      </c>
      <c r="AE12" s="377" t="s">
        <v>244</v>
      </c>
      <c r="AF12" s="377" t="s">
        <v>237</v>
      </c>
      <c r="AG12" s="377" t="s">
        <v>179</v>
      </c>
      <c r="AH12" s="382">
        <v>26.27</v>
      </c>
      <c r="AI12" s="382">
        <v>38220.1</v>
      </c>
      <c r="AJ12" s="377" t="s">
        <v>180</v>
      </c>
      <c r="AK12" s="377" t="s">
        <v>181</v>
      </c>
      <c r="AL12" s="377" t="s">
        <v>182</v>
      </c>
      <c r="AM12" s="377" t="s">
        <v>183</v>
      </c>
      <c r="AN12" s="377" t="s">
        <v>66</v>
      </c>
      <c r="AO12" s="380">
        <v>80</v>
      </c>
      <c r="AP12" s="386">
        <v>1</v>
      </c>
      <c r="AQ12" s="386">
        <v>1</v>
      </c>
      <c r="AR12" s="384" t="s">
        <v>184</v>
      </c>
      <c r="AS12" s="388">
        <f t="shared" si="27"/>
        <v>1</v>
      </c>
      <c r="AT12">
        <f t="shared" si="28"/>
        <v>1</v>
      </c>
      <c r="AU12" s="388">
        <f>IF(AT12=0,"",IF(AND(AT12=1,M12="F",SUMIF(C2:C112,C12,AS2:AS112)&lt;=1),SUMIF(C2:C112,C12,AS2:AS112),IF(AND(AT12=1,M12="F",SUMIF(C2:C112,C12,AS2:AS112)&gt;1),1,"")))</f>
        <v>1</v>
      </c>
      <c r="AV12" s="388" t="str">
        <f>IF(AT12=0,"",IF(AND(AT12=3,M12="F",SUMIF(C2:C112,C12,AS2:AS112)&lt;=1),SUMIF(C2:C112,C12,AS2:AS112),IF(AND(AT12=3,M12="F",SUMIF(C2:C112,C12,AS2:AS112)&gt;1),1,"")))</f>
        <v/>
      </c>
      <c r="AW12" s="388">
        <f>SUMIF(C2:C112,C12,O2:O112)</f>
        <v>1</v>
      </c>
      <c r="AX12" s="388">
        <f>IF(AND(M12="F",AS12&lt;&gt;0),SUMIF(C2:C112,C12,W2:W112),0)</f>
        <v>54641.599999999999</v>
      </c>
      <c r="AY12" s="388">
        <f t="shared" si="29"/>
        <v>54641.599999999999</v>
      </c>
      <c r="AZ12" s="388" t="str">
        <f t="shared" si="30"/>
        <v/>
      </c>
      <c r="BA12" s="388">
        <f t="shared" si="31"/>
        <v>0</v>
      </c>
      <c r="BB12" s="388">
        <f t="shared" si="0"/>
        <v>12500</v>
      </c>
      <c r="BC12" s="388">
        <f t="shared" si="1"/>
        <v>0</v>
      </c>
      <c r="BD12" s="388">
        <f t="shared" si="2"/>
        <v>3387.7791999999999</v>
      </c>
      <c r="BE12" s="388">
        <f t="shared" si="3"/>
        <v>792.30320000000006</v>
      </c>
      <c r="BF12" s="388">
        <f t="shared" si="4"/>
        <v>6524.2070400000002</v>
      </c>
      <c r="BG12" s="388">
        <f t="shared" si="5"/>
        <v>393.965936</v>
      </c>
      <c r="BH12" s="388">
        <f t="shared" si="6"/>
        <v>0</v>
      </c>
      <c r="BI12" s="388">
        <f t="shared" si="7"/>
        <v>302.44125600000001</v>
      </c>
      <c r="BJ12" s="388">
        <f t="shared" si="8"/>
        <v>415.27616</v>
      </c>
      <c r="BK12" s="388">
        <f t="shared" si="9"/>
        <v>0</v>
      </c>
      <c r="BL12" s="388">
        <f t="shared" si="32"/>
        <v>11815.972792</v>
      </c>
      <c r="BM12" s="388">
        <f t="shared" si="33"/>
        <v>0</v>
      </c>
      <c r="BN12" s="388">
        <f t="shared" si="10"/>
        <v>13750</v>
      </c>
      <c r="BO12" s="388">
        <f t="shared" si="11"/>
        <v>0</v>
      </c>
      <c r="BP12" s="388">
        <f t="shared" si="12"/>
        <v>3387.7791999999999</v>
      </c>
      <c r="BQ12" s="388">
        <f t="shared" si="13"/>
        <v>792.30320000000006</v>
      </c>
      <c r="BR12" s="388">
        <f t="shared" si="14"/>
        <v>6108.9308799999999</v>
      </c>
      <c r="BS12" s="388">
        <f t="shared" si="15"/>
        <v>393.965936</v>
      </c>
      <c r="BT12" s="388">
        <f t="shared" si="16"/>
        <v>0</v>
      </c>
      <c r="BU12" s="388">
        <f t="shared" si="17"/>
        <v>302.44125600000001</v>
      </c>
      <c r="BV12" s="388">
        <f t="shared" si="18"/>
        <v>333.31376</v>
      </c>
      <c r="BW12" s="388">
        <f t="shared" si="19"/>
        <v>0</v>
      </c>
      <c r="BX12" s="388">
        <f t="shared" si="34"/>
        <v>11318.734231999999</v>
      </c>
      <c r="BY12" s="388">
        <f t="shared" si="35"/>
        <v>0</v>
      </c>
      <c r="BZ12" s="388">
        <f t="shared" si="36"/>
        <v>1250</v>
      </c>
      <c r="CA12" s="388">
        <f t="shared" si="37"/>
        <v>0</v>
      </c>
      <c r="CB12" s="388">
        <f t="shared" si="38"/>
        <v>0</v>
      </c>
      <c r="CC12" s="388">
        <f t="shared" si="20"/>
        <v>0</v>
      </c>
      <c r="CD12" s="388">
        <f t="shared" si="21"/>
        <v>-415.27616000000052</v>
      </c>
      <c r="CE12" s="388">
        <f t="shared" si="22"/>
        <v>0</v>
      </c>
      <c r="CF12" s="388">
        <f t="shared" si="23"/>
        <v>0</v>
      </c>
      <c r="CG12" s="388">
        <f t="shared" si="24"/>
        <v>0</v>
      </c>
      <c r="CH12" s="388">
        <f t="shared" si="25"/>
        <v>-81.962399999999974</v>
      </c>
      <c r="CI12" s="388">
        <f t="shared" si="26"/>
        <v>0</v>
      </c>
      <c r="CJ12" s="388">
        <f t="shared" si="39"/>
        <v>-497.23856000000046</v>
      </c>
      <c r="CK12" s="388" t="str">
        <f t="shared" si="40"/>
        <v/>
      </c>
      <c r="CL12" s="388" t="str">
        <f t="shared" si="41"/>
        <v/>
      </c>
      <c r="CM12" s="388" t="str">
        <f t="shared" si="42"/>
        <v/>
      </c>
      <c r="CN12" s="388" t="str">
        <f t="shared" si="43"/>
        <v>0001-00</v>
      </c>
    </row>
    <row r="13" spans="1:92" ht="15.75" thickBot="1">
      <c r="A13" s="377" t="s">
        <v>162</v>
      </c>
      <c r="B13" s="377" t="s">
        <v>163</v>
      </c>
      <c r="C13" s="377" t="s">
        <v>248</v>
      </c>
      <c r="D13" s="377" t="s">
        <v>249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192</v>
      </c>
      <c r="K13" s="377" t="s">
        <v>250</v>
      </c>
      <c r="L13" s="377" t="s">
        <v>179</v>
      </c>
      <c r="M13" s="377" t="s">
        <v>172</v>
      </c>
      <c r="N13" s="377" t="s">
        <v>173</v>
      </c>
      <c r="O13" s="380">
        <v>1</v>
      </c>
      <c r="P13" s="386">
        <v>0.75</v>
      </c>
      <c r="Q13" s="386">
        <v>0.75</v>
      </c>
      <c r="R13" s="381">
        <v>80</v>
      </c>
      <c r="S13" s="386">
        <v>0.75</v>
      </c>
      <c r="T13" s="381">
        <v>27153.38</v>
      </c>
      <c r="U13" s="381">
        <v>0</v>
      </c>
      <c r="V13" s="381">
        <v>14790.56</v>
      </c>
      <c r="W13" s="381">
        <v>28158</v>
      </c>
      <c r="X13" s="381">
        <v>15464.14</v>
      </c>
      <c r="Y13" s="381">
        <v>28158</v>
      </c>
      <c r="Z13" s="381">
        <v>16145.4</v>
      </c>
      <c r="AA13" s="377" t="s">
        <v>251</v>
      </c>
      <c r="AB13" s="377" t="s">
        <v>252</v>
      </c>
      <c r="AC13" s="377" t="s">
        <v>253</v>
      </c>
      <c r="AD13" s="377" t="s">
        <v>254</v>
      </c>
      <c r="AE13" s="377" t="s">
        <v>250</v>
      </c>
      <c r="AF13" s="377" t="s">
        <v>210</v>
      </c>
      <c r="AG13" s="377" t="s">
        <v>179</v>
      </c>
      <c r="AH13" s="382">
        <v>18.05</v>
      </c>
      <c r="AI13" s="382">
        <v>24219.9</v>
      </c>
      <c r="AJ13" s="377" t="s">
        <v>180</v>
      </c>
      <c r="AK13" s="377" t="s">
        <v>181</v>
      </c>
      <c r="AL13" s="377" t="s">
        <v>182</v>
      </c>
      <c r="AM13" s="377" t="s">
        <v>183</v>
      </c>
      <c r="AN13" s="377" t="s">
        <v>66</v>
      </c>
      <c r="AO13" s="380">
        <v>80</v>
      </c>
      <c r="AP13" s="386">
        <v>1</v>
      </c>
      <c r="AQ13" s="386">
        <v>0.75</v>
      </c>
      <c r="AR13" s="384" t="s">
        <v>184</v>
      </c>
      <c r="AS13" s="388">
        <f t="shared" si="27"/>
        <v>0.75</v>
      </c>
      <c r="AT13">
        <f t="shared" si="28"/>
        <v>1</v>
      </c>
      <c r="AU13" s="388">
        <f>IF(AT13=0,"",IF(AND(AT13=1,M13="F",SUMIF(C2:C112,C13,AS2:AS112)&lt;=1),SUMIF(C2:C112,C13,AS2:AS112),IF(AND(AT13=1,M13="F",SUMIF(C2:C112,C13,AS2:AS112)&gt;1),1,"")))</f>
        <v>1</v>
      </c>
      <c r="AV13" s="388" t="str">
        <f>IF(AT13=0,"",IF(AND(AT13=3,M13="F",SUMIF(C2:C112,C13,AS2:AS112)&lt;=1),SUMIF(C2:C112,C13,AS2:AS112),IF(AND(AT13=3,M13="F",SUMIF(C2:C112,C13,AS2:AS112)&gt;1),1,"")))</f>
        <v/>
      </c>
      <c r="AW13" s="388">
        <f>SUMIF(C2:C112,C13,O2:O112)</f>
        <v>2</v>
      </c>
      <c r="AX13" s="388">
        <f>IF(AND(M13="F",AS13&lt;&gt;0),SUMIF(C2:C112,C13,W2:W112),0)</f>
        <v>37544</v>
      </c>
      <c r="AY13" s="388">
        <f t="shared" si="29"/>
        <v>28158</v>
      </c>
      <c r="AZ13" s="388" t="str">
        <f t="shared" si="30"/>
        <v/>
      </c>
      <c r="BA13" s="388">
        <f t="shared" si="31"/>
        <v>0</v>
      </c>
      <c r="BB13" s="388">
        <f t="shared" si="0"/>
        <v>9375</v>
      </c>
      <c r="BC13" s="388">
        <f t="shared" si="1"/>
        <v>0</v>
      </c>
      <c r="BD13" s="388">
        <f t="shared" si="2"/>
        <v>1745.796</v>
      </c>
      <c r="BE13" s="388">
        <f t="shared" si="3"/>
        <v>408.291</v>
      </c>
      <c r="BF13" s="388">
        <f t="shared" si="4"/>
        <v>3362.0652</v>
      </c>
      <c r="BG13" s="388">
        <f t="shared" si="5"/>
        <v>203.01918000000001</v>
      </c>
      <c r="BH13" s="388">
        <f t="shared" si="6"/>
        <v>0</v>
      </c>
      <c r="BI13" s="388">
        <f t="shared" si="7"/>
        <v>155.85453000000001</v>
      </c>
      <c r="BJ13" s="388">
        <f t="shared" si="8"/>
        <v>214.0008</v>
      </c>
      <c r="BK13" s="388">
        <f t="shared" si="9"/>
        <v>0</v>
      </c>
      <c r="BL13" s="388">
        <f t="shared" si="32"/>
        <v>6089.0267100000001</v>
      </c>
      <c r="BM13" s="388">
        <f t="shared" si="33"/>
        <v>0</v>
      </c>
      <c r="BN13" s="388">
        <f t="shared" si="10"/>
        <v>10312.5</v>
      </c>
      <c r="BO13" s="388">
        <f t="shared" si="11"/>
        <v>0</v>
      </c>
      <c r="BP13" s="388">
        <f t="shared" si="12"/>
        <v>1745.796</v>
      </c>
      <c r="BQ13" s="388">
        <f t="shared" si="13"/>
        <v>408.291</v>
      </c>
      <c r="BR13" s="388">
        <f t="shared" si="14"/>
        <v>3148.0643999999998</v>
      </c>
      <c r="BS13" s="388">
        <f t="shared" si="15"/>
        <v>203.01918000000001</v>
      </c>
      <c r="BT13" s="388">
        <f t="shared" si="16"/>
        <v>0</v>
      </c>
      <c r="BU13" s="388">
        <f t="shared" si="17"/>
        <v>155.85453000000001</v>
      </c>
      <c r="BV13" s="388">
        <f t="shared" si="18"/>
        <v>171.7638</v>
      </c>
      <c r="BW13" s="388">
        <f t="shared" si="19"/>
        <v>0</v>
      </c>
      <c r="BX13" s="388">
        <f t="shared" si="34"/>
        <v>5832.7889099999993</v>
      </c>
      <c r="BY13" s="388">
        <f t="shared" si="35"/>
        <v>0</v>
      </c>
      <c r="BZ13" s="388">
        <f t="shared" si="36"/>
        <v>937.5</v>
      </c>
      <c r="CA13" s="388">
        <f t="shared" si="37"/>
        <v>0</v>
      </c>
      <c r="CB13" s="388">
        <f t="shared" si="38"/>
        <v>0</v>
      </c>
      <c r="CC13" s="388">
        <f t="shared" si="20"/>
        <v>0</v>
      </c>
      <c r="CD13" s="388">
        <f t="shared" si="21"/>
        <v>-214.00080000000028</v>
      </c>
      <c r="CE13" s="388">
        <f t="shared" si="22"/>
        <v>0</v>
      </c>
      <c r="CF13" s="388">
        <f t="shared" si="23"/>
        <v>0</v>
      </c>
      <c r="CG13" s="388">
        <f t="shared" si="24"/>
        <v>0</v>
      </c>
      <c r="CH13" s="388">
        <f t="shared" si="25"/>
        <v>-42.236999999999988</v>
      </c>
      <c r="CI13" s="388">
        <f t="shared" si="26"/>
        <v>0</v>
      </c>
      <c r="CJ13" s="388">
        <f t="shared" si="39"/>
        <v>-256.23780000000028</v>
      </c>
      <c r="CK13" s="388" t="str">
        <f t="shared" si="40"/>
        <v/>
      </c>
      <c r="CL13" s="388" t="str">
        <f t="shared" si="41"/>
        <v/>
      </c>
      <c r="CM13" s="388" t="str">
        <f t="shared" si="42"/>
        <v/>
      </c>
      <c r="CN13" s="388" t="str">
        <f t="shared" si="43"/>
        <v>0001-00</v>
      </c>
    </row>
    <row r="14" spans="1:92" ht="15.75" thickBot="1">
      <c r="A14" s="377" t="s">
        <v>162</v>
      </c>
      <c r="B14" s="377" t="s">
        <v>163</v>
      </c>
      <c r="C14" s="377" t="s">
        <v>255</v>
      </c>
      <c r="D14" s="377" t="s">
        <v>256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257</v>
      </c>
      <c r="L14" s="377" t="s">
        <v>202</v>
      </c>
      <c r="M14" s="377" t="s">
        <v>172</v>
      </c>
      <c r="N14" s="377" t="s">
        <v>173</v>
      </c>
      <c r="O14" s="380">
        <v>1</v>
      </c>
      <c r="P14" s="386">
        <v>1</v>
      </c>
      <c r="Q14" s="386">
        <v>1</v>
      </c>
      <c r="R14" s="381">
        <v>80</v>
      </c>
      <c r="S14" s="386">
        <v>1</v>
      </c>
      <c r="T14" s="381">
        <v>24034.81</v>
      </c>
      <c r="U14" s="381">
        <v>0</v>
      </c>
      <c r="V14" s="381">
        <v>12616.83</v>
      </c>
      <c r="W14" s="381">
        <v>42889.599999999999</v>
      </c>
      <c r="X14" s="381">
        <v>21774.84</v>
      </c>
      <c r="Y14" s="381">
        <v>42889.599999999999</v>
      </c>
      <c r="Z14" s="381">
        <v>22634.54</v>
      </c>
      <c r="AA14" s="377" t="s">
        <v>258</v>
      </c>
      <c r="AB14" s="377" t="s">
        <v>259</v>
      </c>
      <c r="AC14" s="377" t="s">
        <v>260</v>
      </c>
      <c r="AD14" s="377" t="s">
        <v>261</v>
      </c>
      <c r="AE14" s="377" t="s">
        <v>257</v>
      </c>
      <c r="AF14" s="377" t="s">
        <v>262</v>
      </c>
      <c r="AG14" s="377" t="s">
        <v>179</v>
      </c>
      <c r="AH14" s="382">
        <v>20.62</v>
      </c>
      <c r="AI14" s="382">
        <v>22966.400000000001</v>
      </c>
      <c r="AJ14" s="377" t="s">
        <v>180</v>
      </c>
      <c r="AK14" s="377" t="s">
        <v>181</v>
      </c>
      <c r="AL14" s="377" t="s">
        <v>182</v>
      </c>
      <c r="AM14" s="377" t="s">
        <v>183</v>
      </c>
      <c r="AN14" s="377" t="s">
        <v>66</v>
      </c>
      <c r="AO14" s="380">
        <v>80</v>
      </c>
      <c r="AP14" s="386">
        <v>1</v>
      </c>
      <c r="AQ14" s="386">
        <v>1</v>
      </c>
      <c r="AR14" s="384" t="s">
        <v>184</v>
      </c>
      <c r="AS14" s="388">
        <f t="shared" si="27"/>
        <v>1</v>
      </c>
      <c r="AT14">
        <f t="shared" si="28"/>
        <v>1</v>
      </c>
      <c r="AU14" s="388">
        <f>IF(AT14=0,"",IF(AND(AT14=1,M14="F",SUMIF(C2:C112,C14,AS2:AS112)&lt;=1),SUMIF(C2:C112,C14,AS2:AS112),IF(AND(AT14=1,M14="F",SUMIF(C2:C112,C14,AS2:AS112)&gt;1),1,"")))</f>
        <v>1</v>
      </c>
      <c r="AV14" s="388" t="str">
        <f>IF(AT14=0,"",IF(AND(AT14=3,M14="F",SUMIF(C2:C112,C14,AS2:AS112)&lt;=1),SUMIF(C2:C112,C14,AS2:AS112),IF(AND(AT14=3,M14="F",SUMIF(C2:C112,C14,AS2:AS112)&gt;1),1,"")))</f>
        <v/>
      </c>
      <c r="AW14" s="388">
        <f>SUMIF(C2:C112,C14,O2:O112)</f>
        <v>1</v>
      </c>
      <c r="AX14" s="388">
        <f>IF(AND(M14="F",AS14&lt;&gt;0),SUMIF(C2:C112,C14,W2:W112),0)</f>
        <v>42889.599999999999</v>
      </c>
      <c r="AY14" s="388">
        <f t="shared" si="29"/>
        <v>42889.599999999999</v>
      </c>
      <c r="AZ14" s="388" t="str">
        <f t="shared" si="30"/>
        <v/>
      </c>
      <c r="BA14" s="388">
        <f t="shared" si="31"/>
        <v>0</v>
      </c>
      <c r="BB14" s="388">
        <f t="shared" si="0"/>
        <v>12500</v>
      </c>
      <c r="BC14" s="388">
        <f t="shared" si="1"/>
        <v>0</v>
      </c>
      <c r="BD14" s="388">
        <f t="shared" si="2"/>
        <v>2659.1551999999997</v>
      </c>
      <c r="BE14" s="388">
        <f t="shared" si="3"/>
        <v>621.89920000000006</v>
      </c>
      <c r="BF14" s="388">
        <f t="shared" si="4"/>
        <v>5121.0182400000003</v>
      </c>
      <c r="BG14" s="388">
        <f t="shared" si="5"/>
        <v>309.234016</v>
      </c>
      <c r="BH14" s="388">
        <f t="shared" si="6"/>
        <v>0</v>
      </c>
      <c r="BI14" s="388">
        <f t="shared" si="7"/>
        <v>237.393936</v>
      </c>
      <c r="BJ14" s="388">
        <f t="shared" si="8"/>
        <v>325.96096</v>
      </c>
      <c r="BK14" s="388">
        <f t="shared" si="9"/>
        <v>0</v>
      </c>
      <c r="BL14" s="388">
        <f t="shared" si="32"/>
        <v>9274.6615520000014</v>
      </c>
      <c r="BM14" s="388">
        <f t="shared" si="33"/>
        <v>0</v>
      </c>
      <c r="BN14" s="388">
        <f t="shared" si="10"/>
        <v>13750</v>
      </c>
      <c r="BO14" s="388">
        <f t="shared" si="11"/>
        <v>0</v>
      </c>
      <c r="BP14" s="388">
        <f t="shared" si="12"/>
        <v>2659.1551999999997</v>
      </c>
      <c r="BQ14" s="388">
        <f t="shared" si="13"/>
        <v>621.89920000000006</v>
      </c>
      <c r="BR14" s="388">
        <f t="shared" si="14"/>
        <v>4795.05728</v>
      </c>
      <c r="BS14" s="388">
        <f t="shared" si="15"/>
        <v>309.234016</v>
      </c>
      <c r="BT14" s="388">
        <f t="shared" si="16"/>
        <v>0</v>
      </c>
      <c r="BU14" s="388">
        <f t="shared" si="17"/>
        <v>237.393936</v>
      </c>
      <c r="BV14" s="388">
        <f t="shared" si="18"/>
        <v>261.62655999999998</v>
      </c>
      <c r="BW14" s="388">
        <f t="shared" si="19"/>
        <v>0</v>
      </c>
      <c r="BX14" s="388">
        <f t="shared" si="34"/>
        <v>8884.3661920000013</v>
      </c>
      <c r="BY14" s="388">
        <f t="shared" si="35"/>
        <v>0</v>
      </c>
      <c r="BZ14" s="388">
        <f t="shared" si="36"/>
        <v>1250</v>
      </c>
      <c r="CA14" s="388">
        <f t="shared" si="37"/>
        <v>0</v>
      </c>
      <c r="CB14" s="388">
        <f t="shared" si="38"/>
        <v>0</v>
      </c>
      <c r="CC14" s="388">
        <f t="shared" si="20"/>
        <v>0</v>
      </c>
      <c r="CD14" s="388">
        <f t="shared" si="21"/>
        <v>-325.9609600000004</v>
      </c>
      <c r="CE14" s="388">
        <f t="shared" si="22"/>
        <v>0</v>
      </c>
      <c r="CF14" s="388">
        <f t="shared" si="23"/>
        <v>0</v>
      </c>
      <c r="CG14" s="388">
        <f t="shared" si="24"/>
        <v>0</v>
      </c>
      <c r="CH14" s="388">
        <f t="shared" si="25"/>
        <v>-64.334399999999974</v>
      </c>
      <c r="CI14" s="388">
        <f t="shared" si="26"/>
        <v>0</v>
      </c>
      <c r="CJ14" s="388">
        <f t="shared" si="39"/>
        <v>-390.29536000000036</v>
      </c>
      <c r="CK14" s="388" t="str">
        <f t="shared" si="40"/>
        <v/>
      </c>
      <c r="CL14" s="388" t="str">
        <f t="shared" si="41"/>
        <v/>
      </c>
      <c r="CM14" s="388" t="str">
        <f t="shared" si="42"/>
        <v/>
      </c>
      <c r="CN14" s="388" t="str">
        <f t="shared" si="43"/>
        <v>0001-00</v>
      </c>
    </row>
    <row r="15" spans="1:92" ht="15.75" thickBot="1">
      <c r="A15" s="377" t="s">
        <v>162</v>
      </c>
      <c r="B15" s="377" t="s">
        <v>163</v>
      </c>
      <c r="C15" s="377" t="s">
        <v>263</v>
      </c>
      <c r="D15" s="377" t="s">
        <v>264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169</v>
      </c>
      <c r="K15" s="377" t="s">
        <v>265</v>
      </c>
      <c r="L15" s="377" t="s">
        <v>188</v>
      </c>
      <c r="M15" s="377" t="s">
        <v>172</v>
      </c>
      <c r="N15" s="377" t="s">
        <v>173</v>
      </c>
      <c r="O15" s="380">
        <v>1</v>
      </c>
      <c r="P15" s="386">
        <v>1</v>
      </c>
      <c r="Q15" s="386">
        <v>1</v>
      </c>
      <c r="R15" s="381">
        <v>80</v>
      </c>
      <c r="S15" s="386">
        <v>1</v>
      </c>
      <c r="T15" s="381">
        <v>64501.88</v>
      </c>
      <c r="U15" s="381">
        <v>0</v>
      </c>
      <c r="V15" s="381">
        <v>25242.62</v>
      </c>
      <c r="W15" s="381">
        <v>66102.399999999994</v>
      </c>
      <c r="X15" s="381">
        <v>26794.6</v>
      </c>
      <c r="Y15" s="381">
        <v>66102.399999999994</v>
      </c>
      <c r="Z15" s="381">
        <v>27443.07</v>
      </c>
      <c r="AA15" s="377" t="s">
        <v>266</v>
      </c>
      <c r="AB15" s="377" t="s">
        <v>267</v>
      </c>
      <c r="AC15" s="377" t="s">
        <v>268</v>
      </c>
      <c r="AD15" s="377" t="s">
        <v>197</v>
      </c>
      <c r="AE15" s="377" t="s">
        <v>265</v>
      </c>
      <c r="AF15" s="377" t="s">
        <v>198</v>
      </c>
      <c r="AG15" s="377" t="s">
        <v>179</v>
      </c>
      <c r="AH15" s="382">
        <v>31.78</v>
      </c>
      <c r="AI15" s="380">
        <v>6091</v>
      </c>
      <c r="AJ15" s="377" t="s">
        <v>180</v>
      </c>
      <c r="AK15" s="377" t="s">
        <v>181</v>
      </c>
      <c r="AL15" s="377" t="s">
        <v>182</v>
      </c>
      <c r="AM15" s="377" t="s">
        <v>183</v>
      </c>
      <c r="AN15" s="377" t="s">
        <v>66</v>
      </c>
      <c r="AO15" s="380">
        <v>80</v>
      </c>
      <c r="AP15" s="386">
        <v>1</v>
      </c>
      <c r="AQ15" s="386">
        <v>1</v>
      </c>
      <c r="AR15" s="384" t="s">
        <v>184</v>
      </c>
      <c r="AS15" s="388">
        <f t="shared" si="27"/>
        <v>1</v>
      </c>
      <c r="AT15">
        <f t="shared" si="28"/>
        <v>1</v>
      </c>
      <c r="AU15" s="388">
        <f>IF(AT15=0,"",IF(AND(AT15=1,M15="F",SUMIF(C2:C112,C15,AS2:AS112)&lt;=1),SUMIF(C2:C112,C15,AS2:AS112),IF(AND(AT15=1,M15="F",SUMIF(C2:C112,C15,AS2:AS112)&gt;1),1,"")))</f>
        <v>1</v>
      </c>
      <c r="AV15" s="388" t="str">
        <f>IF(AT15=0,"",IF(AND(AT15=3,M15="F",SUMIF(C2:C112,C15,AS2:AS112)&lt;=1),SUMIF(C2:C112,C15,AS2:AS112),IF(AND(AT15=3,M15="F",SUMIF(C2:C112,C15,AS2:AS112)&gt;1),1,"")))</f>
        <v/>
      </c>
      <c r="AW15" s="388">
        <f>SUMIF(C2:C112,C15,O2:O112)</f>
        <v>2</v>
      </c>
      <c r="AX15" s="388">
        <f>IF(AND(M15="F",AS15&lt;&gt;0),SUMIF(C2:C112,C15,W2:W112),0)</f>
        <v>66102.399999999994</v>
      </c>
      <c r="AY15" s="388">
        <f t="shared" si="29"/>
        <v>66102.399999999994</v>
      </c>
      <c r="AZ15" s="388" t="str">
        <f t="shared" si="30"/>
        <v/>
      </c>
      <c r="BA15" s="388">
        <f t="shared" si="31"/>
        <v>0</v>
      </c>
      <c r="BB15" s="388">
        <f t="shared" si="0"/>
        <v>12500</v>
      </c>
      <c r="BC15" s="388">
        <f t="shared" si="1"/>
        <v>0</v>
      </c>
      <c r="BD15" s="388">
        <f t="shared" si="2"/>
        <v>4098.3487999999998</v>
      </c>
      <c r="BE15" s="388">
        <f t="shared" si="3"/>
        <v>958.48479999999995</v>
      </c>
      <c r="BF15" s="388">
        <f t="shared" si="4"/>
        <v>7892.6265599999997</v>
      </c>
      <c r="BG15" s="388">
        <f t="shared" si="5"/>
        <v>476.59830399999998</v>
      </c>
      <c r="BH15" s="388">
        <f t="shared" si="6"/>
        <v>0</v>
      </c>
      <c r="BI15" s="388">
        <f t="shared" si="7"/>
        <v>365.87678399999999</v>
      </c>
      <c r="BJ15" s="388">
        <f t="shared" si="8"/>
        <v>502.37823999999995</v>
      </c>
      <c r="BK15" s="388">
        <f t="shared" si="9"/>
        <v>0</v>
      </c>
      <c r="BL15" s="388">
        <f t="shared" si="32"/>
        <v>14294.313487999998</v>
      </c>
      <c r="BM15" s="388">
        <f t="shared" si="33"/>
        <v>0</v>
      </c>
      <c r="BN15" s="388">
        <f t="shared" si="10"/>
        <v>13750</v>
      </c>
      <c r="BO15" s="388">
        <f t="shared" si="11"/>
        <v>0</v>
      </c>
      <c r="BP15" s="388">
        <f t="shared" si="12"/>
        <v>4098.3487999999998</v>
      </c>
      <c r="BQ15" s="388">
        <f t="shared" si="13"/>
        <v>958.48479999999995</v>
      </c>
      <c r="BR15" s="388">
        <f t="shared" si="14"/>
        <v>7390.2483199999988</v>
      </c>
      <c r="BS15" s="388">
        <f t="shared" si="15"/>
        <v>476.59830399999998</v>
      </c>
      <c r="BT15" s="388">
        <f t="shared" si="16"/>
        <v>0</v>
      </c>
      <c r="BU15" s="388">
        <f t="shared" si="17"/>
        <v>365.87678399999999</v>
      </c>
      <c r="BV15" s="388">
        <f t="shared" si="18"/>
        <v>403.22463999999997</v>
      </c>
      <c r="BW15" s="388">
        <f t="shared" si="19"/>
        <v>0</v>
      </c>
      <c r="BX15" s="388">
        <f t="shared" si="34"/>
        <v>13692.781647999998</v>
      </c>
      <c r="BY15" s="388">
        <f t="shared" si="35"/>
        <v>0</v>
      </c>
      <c r="BZ15" s="388">
        <f t="shared" si="36"/>
        <v>1250</v>
      </c>
      <c r="CA15" s="388">
        <f t="shared" si="37"/>
        <v>0</v>
      </c>
      <c r="CB15" s="388">
        <f t="shared" si="38"/>
        <v>0</v>
      </c>
      <c r="CC15" s="388">
        <f t="shared" si="20"/>
        <v>0</v>
      </c>
      <c r="CD15" s="388">
        <f t="shared" si="21"/>
        <v>-502.37824000000057</v>
      </c>
      <c r="CE15" s="388">
        <f t="shared" si="22"/>
        <v>0</v>
      </c>
      <c r="CF15" s="388">
        <f t="shared" si="23"/>
        <v>0</v>
      </c>
      <c r="CG15" s="388">
        <f t="shared" si="24"/>
        <v>0</v>
      </c>
      <c r="CH15" s="388">
        <f t="shared" si="25"/>
        <v>-99.153599999999969</v>
      </c>
      <c r="CI15" s="388">
        <f t="shared" si="26"/>
        <v>0</v>
      </c>
      <c r="CJ15" s="388">
        <f t="shared" si="39"/>
        <v>-601.53184000000056</v>
      </c>
      <c r="CK15" s="388" t="str">
        <f t="shared" si="40"/>
        <v/>
      </c>
      <c r="CL15" s="388" t="str">
        <f t="shared" si="41"/>
        <v/>
      </c>
      <c r="CM15" s="388" t="str">
        <f t="shared" si="42"/>
        <v/>
      </c>
      <c r="CN15" s="388" t="str">
        <f t="shared" si="43"/>
        <v>0001-00</v>
      </c>
    </row>
    <row r="16" spans="1:92" ht="15.75" thickBot="1">
      <c r="A16" s="377" t="s">
        <v>162</v>
      </c>
      <c r="B16" s="377" t="s">
        <v>163</v>
      </c>
      <c r="C16" s="377" t="s">
        <v>269</v>
      </c>
      <c r="D16" s="377" t="s">
        <v>270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192</v>
      </c>
      <c r="K16" s="377" t="s">
        <v>271</v>
      </c>
      <c r="L16" s="377" t="s">
        <v>188</v>
      </c>
      <c r="M16" s="377" t="s">
        <v>172</v>
      </c>
      <c r="N16" s="377" t="s">
        <v>173</v>
      </c>
      <c r="O16" s="380">
        <v>1</v>
      </c>
      <c r="P16" s="386">
        <v>0.75</v>
      </c>
      <c r="Q16" s="386">
        <v>0.75</v>
      </c>
      <c r="R16" s="381">
        <v>80</v>
      </c>
      <c r="S16" s="386">
        <v>0.75</v>
      </c>
      <c r="T16" s="381">
        <v>49683.09</v>
      </c>
      <c r="U16" s="381">
        <v>0</v>
      </c>
      <c r="V16" s="381">
        <v>19572.97</v>
      </c>
      <c r="W16" s="381">
        <v>49514.400000000001</v>
      </c>
      <c r="X16" s="381">
        <v>20082.46</v>
      </c>
      <c r="Y16" s="381">
        <v>49514.400000000001</v>
      </c>
      <c r="Z16" s="381">
        <v>20569.38</v>
      </c>
      <c r="AA16" s="377" t="s">
        <v>272</v>
      </c>
      <c r="AB16" s="377" t="s">
        <v>273</v>
      </c>
      <c r="AC16" s="377" t="s">
        <v>274</v>
      </c>
      <c r="AD16" s="377" t="s">
        <v>275</v>
      </c>
      <c r="AE16" s="377" t="s">
        <v>271</v>
      </c>
      <c r="AF16" s="377" t="s">
        <v>198</v>
      </c>
      <c r="AG16" s="377" t="s">
        <v>179</v>
      </c>
      <c r="AH16" s="382">
        <v>31.74</v>
      </c>
      <c r="AI16" s="382">
        <v>12482.6</v>
      </c>
      <c r="AJ16" s="377" t="s">
        <v>180</v>
      </c>
      <c r="AK16" s="377" t="s">
        <v>181</v>
      </c>
      <c r="AL16" s="377" t="s">
        <v>182</v>
      </c>
      <c r="AM16" s="377" t="s">
        <v>183</v>
      </c>
      <c r="AN16" s="377" t="s">
        <v>66</v>
      </c>
      <c r="AO16" s="380">
        <v>80</v>
      </c>
      <c r="AP16" s="386">
        <v>1</v>
      </c>
      <c r="AQ16" s="386">
        <v>0.75</v>
      </c>
      <c r="AR16" s="384" t="s">
        <v>184</v>
      </c>
      <c r="AS16" s="388">
        <f t="shared" si="27"/>
        <v>0.75</v>
      </c>
      <c r="AT16">
        <f t="shared" si="28"/>
        <v>1</v>
      </c>
      <c r="AU16" s="388">
        <f>IF(AT16=0,"",IF(AND(AT16=1,M16="F",SUMIF(C2:C112,C16,AS2:AS112)&lt;=1),SUMIF(C2:C112,C16,AS2:AS112),IF(AND(AT16=1,M16="F",SUMIF(C2:C112,C16,AS2:AS112)&gt;1),1,"")))</f>
        <v>1</v>
      </c>
      <c r="AV16" s="388" t="str">
        <f>IF(AT16=0,"",IF(AND(AT16=3,M16="F",SUMIF(C2:C112,C16,AS2:AS112)&lt;=1),SUMIF(C2:C112,C16,AS2:AS112),IF(AND(AT16=3,M16="F",SUMIF(C2:C112,C16,AS2:AS112)&gt;1),1,"")))</f>
        <v/>
      </c>
      <c r="AW16" s="388">
        <f>SUMIF(C2:C112,C16,O2:O112)</f>
        <v>2</v>
      </c>
      <c r="AX16" s="388">
        <f>IF(AND(M16="F",AS16&lt;&gt;0),SUMIF(C2:C112,C16,W2:W112),0)</f>
        <v>66019.199999999997</v>
      </c>
      <c r="AY16" s="388">
        <f t="shared" si="29"/>
        <v>49514.400000000001</v>
      </c>
      <c r="AZ16" s="388" t="str">
        <f t="shared" si="30"/>
        <v/>
      </c>
      <c r="BA16" s="388">
        <f t="shared" si="31"/>
        <v>0</v>
      </c>
      <c r="BB16" s="388">
        <f t="shared" si="0"/>
        <v>9375</v>
      </c>
      <c r="BC16" s="388">
        <f t="shared" si="1"/>
        <v>0</v>
      </c>
      <c r="BD16" s="388">
        <f t="shared" si="2"/>
        <v>3069.8928000000001</v>
      </c>
      <c r="BE16" s="388">
        <f t="shared" si="3"/>
        <v>717.95880000000011</v>
      </c>
      <c r="BF16" s="388">
        <f t="shared" si="4"/>
        <v>5912.0193600000002</v>
      </c>
      <c r="BG16" s="388">
        <f t="shared" si="5"/>
        <v>356.99882400000001</v>
      </c>
      <c r="BH16" s="388">
        <f t="shared" si="6"/>
        <v>0</v>
      </c>
      <c r="BI16" s="388">
        <f t="shared" si="7"/>
        <v>274.06220400000001</v>
      </c>
      <c r="BJ16" s="388">
        <f t="shared" si="8"/>
        <v>376.30944</v>
      </c>
      <c r="BK16" s="388">
        <f t="shared" si="9"/>
        <v>0</v>
      </c>
      <c r="BL16" s="388">
        <f t="shared" si="32"/>
        <v>10707.241428000001</v>
      </c>
      <c r="BM16" s="388">
        <f t="shared" si="33"/>
        <v>0</v>
      </c>
      <c r="BN16" s="388">
        <f t="shared" si="10"/>
        <v>10312.5</v>
      </c>
      <c r="BO16" s="388">
        <f t="shared" si="11"/>
        <v>0</v>
      </c>
      <c r="BP16" s="388">
        <f t="shared" si="12"/>
        <v>3069.8928000000001</v>
      </c>
      <c r="BQ16" s="388">
        <f t="shared" si="13"/>
        <v>717.95880000000011</v>
      </c>
      <c r="BR16" s="388">
        <f t="shared" si="14"/>
        <v>5535.7099200000002</v>
      </c>
      <c r="BS16" s="388">
        <f t="shared" si="15"/>
        <v>356.99882400000001</v>
      </c>
      <c r="BT16" s="388">
        <f t="shared" si="16"/>
        <v>0</v>
      </c>
      <c r="BU16" s="388">
        <f t="shared" si="17"/>
        <v>274.06220400000001</v>
      </c>
      <c r="BV16" s="388">
        <f t="shared" si="18"/>
        <v>302.03784000000002</v>
      </c>
      <c r="BW16" s="388">
        <f t="shared" si="19"/>
        <v>0</v>
      </c>
      <c r="BX16" s="388">
        <f t="shared" si="34"/>
        <v>10256.660388</v>
      </c>
      <c r="BY16" s="388">
        <f t="shared" si="35"/>
        <v>0</v>
      </c>
      <c r="BZ16" s="388">
        <f t="shared" si="36"/>
        <v>937.5</v>
      </c>
      <c r="CA16" s="388">
        <f t="shared" si="37"/>
        <v>0</v>
      </c>
      <c r="CB16" s="388">
        <f t="shared" si="38"/>
        <v>0</v>
      </c>
      <c r="CC16" s="388">
        <f t="shared" si="20"/>
        <v>0</v>
      </c>
      <c r="CD16" s="388">
        <f t="shared" si="21"/>
        <v>-376.30944000000051</v>
      </c>
      <c r="CE16" s="388">
        <f t="shared" si="22"/>
        <v>0</v>
      </c>
      <c r="CF16" s="388">
        <f t="shared" si="23"/>
        <v>0</v>
      </c>
      <c r="CG16" s="388">
        <f t="shared" si="24"/>
        <v>0</v>
      </c>
      <c r="CH16" s="388">
        <f t="shared" si="25"/>
        <v>-74.271599999999978</v>
      </c>
      <c r="CI16" s="388">
        <f t="shared" si="26"/>
        <v>0</v>
      </c>
      <c r="CJ16" s="388">
        <f t="shared" si="39"/>
        <v>-450.58104000000048</v>
      </c>
      <c r="CK16" s="388" t="str">
        <f t="shared" si="40"/>
        <v/>
      </c>
      <c r="CL16" s="388" t="str">
        <f t="shared" si="41"/>
        <v/>
      </c>
      <c r="CM16" s="388" t="str">
        <f t="shared" si="42"/>
        <v/>
      </c>
      <c r="CN16" s="388" t="str">
        <f t="shared" si="43"/>
        <v>0001-00</v>
      </c>
    </row>
    <row r="17" spans="1:92" ht="15.75" thickBot="1">
      <c r="A17" s="377" t="s">
        <v>162</v>
      </c>
      <c r="B17" s="377" t="s">
        <v>163</v>
      </c>
      <c r="C17" s="377" t="s">
        <v>276</v>
      </c>
      <c r="D17" s="377" t="s">
        <v>277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192</v>
      </c>
      <c r="K17" s="377" t="s">
        <v>278</v>
      </c>
      <c r="L17" s="377" t="s">
        <v>177</v>
      </c>
      <c r="M17" s="377" t="s">
        <v>172</v>
      </c>
      <c r="N17" s="377" t="s">
        <v>173</v>
      </c>
      <c r="O17" s="380">
        <v>1</v>
      </c>
      <c r="P17" s="386">
        <v>0.75</v>
      </c>
      <c r="Q17" s="386">
        <v>0.75</v>
      </c>
      <c r="R17" s="381">
        <v>80</v>
      </c>
      <c r="S17" s="386">
        <v>0.75</v>
      </c>
      <c r="T17" s="381">
        <v>43502.8</v>
      </c>
      <c r="U17" s="381">
        <v>0</v>
      </c>
      <c r="V17" s="381">
        <v>18205.88</v>
      </c>
      <c r="W17" s="381">
        <v>42744</v>
      </c>
      <c r="X17" s="381">
        <v>18618.36</v>
      </c>
      <c r="Y17" s="381">
        <v>42744</v>
      </c>
      <c r="Z17" s="381">
        <v>19166.900000000001</v>
      </c>
      <c r="AA17" s="377" t="s">
        <v>279</v>
      </c>
      <c r="AB17" s="377" t="s">
        <v>280</v>
      </c>
      <c r="AC17" s="377" t="s">
        <v>217</v>
      </c>
      <c r="AD17" s="377" t="s">
        <v>281</v>
      </c>
      <c r="AE17" s="377" t="s">
        <v>278</v>
      </c>
      <c r="AF17" s="377" t="s">
        <v>237</v>
      </c>
      <c r="AG17" s="377" t="s">
        <v>179</v>
      </c>
      <c r="AH17" s="382">
        <v>27.4</v>
      </c>
      <c r="AI17" s="382">
        <v>46508.1</v>
      </c>
      <c r="AJ17" s="377" t="s">
        <v>180</v>
      </c>
      <c r="AK17" s="377" t="s">
        <v>181</v>
      </c>
      <c r="AL17" s="377" t="s">
        <v>182</v>
      </c>
      <c r="AM17" s="377" t="s">
        <v>183</v>
      </c>
      <c r="AN17" s="377" t="s">
        <v>66</v>
      </c>
      <c r="AO17" s="380">
        <v>80</v>
      </c>
      <c r="AP17" s="386">
        <v>1</v>
      </c>
      <c r="AQ17" s="386">
        <v>0.75</v>
      </c>
      <c r="AR17" s="384" t="s">
        <v>184</v>
      </c>
      <c r="AS17" s="388">
        <f t="shared" si="27"/>
        <v>0.75</v>
      </c>
      <c r="AT17">
        <f t="shared" si="28"/>
        <v>1</v>
      </c>
      <c r="AU17" s="388">
        <f>IF(AT17=0,"",IF(AND(AT17=1,M17="F",SUMIF(C2:C112,C17,AS2:AS112)&lt;=1),SUMIF(C2:C112,C17,AS2:AS112),IF(AND(AT17=1,M17="F",SUMIF(C2:C112,C17,AS2:AS112)&gt;1),1,"")))</f>
        <v>1</v>
      </c>
      <c r="AV17" s="388" t="str">
        <f>IF(AT17=0,"",IF(AND(AT17=3,M17="F",SUMIF(C2:C112,C17,AS2:AS112)&lt;=1),SUMIF(C2:C112,C17,AS2:AS112),IF(AND(AT17=3,M17="F",SUMIF(C2:C112,C17,AS2:AS112)&gt;1),1,"")))</f>
        <v/>
      </c>
      <c r="AW17" s="388">
        <f>SUMIF(C2:C112,C17,O2:O112)</f>
        <v>2</v>
      </c>
      <c r="AX17" s="388">
        <f>IF(AND(M17="F",AS17&lt;&gt;0),SUMIF(C2:C112,C17,W2:W112),0)</f>
        <v>56992</v>
      </c>
      <c r="AY17" s="388">
        <f t="shared" si="29"/>
        <v>42744</v>
      </c>
      <c r="AZ17" s="388" t="str">
        <f t="shared" si="30"/>
        <v/>
      </c>
      <c r="BA17" s="388">
        <f t="shared" si="31"/>
        <v>0</v>
      </c>
      <c r="BB17" s="388">
        <f t="shared" si="0"/>
        <v>9375</v>
      </c>
      <c r="BC17" s="388">
        <f t="shared" si="1"/>
        <v>0</v>
      </c>
      <c r="BD17" s="388">
        <f t="shared" si="2"/>
        <v>2650.1280000000002</v>
      </c>
      <c r="BE17" s="388">
        <f t="shared" si="3"/>
        <v>619.78800000000001</v>
      </c>
      <c r="BF17" s="388">
        <f t="shared" si="4"/>
        <v>5103.6336000000001</v>
      </c>
      <c r="BG17" s="388">
        <f t="shared" si="5"/>
        <v>308.18423999999999</v>
      </c>
      <c r="BH17" s="388">
        <f t="shared" si="6"/>
        <v>0</v>
      </c>
      <c r="BI17" s="388">
        <f t="shared" si="7"/>
        <v>236.58804000000001</v>
      </c>
      <c r="BJ17" s="388">
        <f t="shared" si="8"/>
        <v>324.8544</v>
      </c>
      <c r="BK17" s="388">
        <f t="shared" si="9"/>
        <v>0</v>
      </c>
      <c r="BL17" s="388">
        <f t="shared" si="32"/>
        <v>9243.1762800000015</v>
      </c>
      <c r="BM17" s="388">
        <f t="shared" si="33"/>
        <v>0</v>
      </c>
      <c r="BN17" s="388">
        <f t="shared" si="10"/>
        <v>10312.5</v>
      </c>
      <c r="BO17" s="388">
        <f t="shared" si="11"/>
        <v>0</v>
      </c>
      <c r="BP17" s="388">
        <f t="shared" si="12"/>
        <v>2650.1280000000002</v>
      </c>
      <c r="BQ17" s="388">
        <f t="shared" si="13"/>
        <v>619.78800000000001</v>
      </c>
      <c r="BR17" s="388">
        <f t="shared" si="14"/>
        <v>4778.7791999999999</v>
      </c>
      <c r="BS17" s="388">
        <f t="shared" si="15"/>
        <v>308.18423999999999</v>
      </c>
      <c r="BT17" s="388">
        <f t="shared" si="16"/>
        <v>0</v>
      </c>
      <c r="BU17" s="388">
        <f t="shared" si="17"/>
        <v>236.58804000000001</v>
      </c>
      <c r="BV17" s="388">
        <f t="shared" si="18"/>
        <v>260.73840000000001</v>
      </c>
      <c r="BW17" s="388">
        <f t="shared" si="19"/>
        <v>0</v>
      </c>
      <c r="BX17" s="388">
        <f t="shared" si="34"/>
        <v>8854.2058800000013</v>
      </c>
      <c r="BY17" s="388">
        <f t="shared" si="35"/>
        <v>0</v>
      </c>
      <c r="BZ17" s="388">
        <f t="shared" si="36"/>
        <v>937.5</v>
      </c>
      <c r="CA17" s="388">
        <f t="shared" si="37"/>
        <v>0</v>
      </c>
      <c r="CB17" s="388">
        <f t="shared" si="38"/>
        <v>0</v>
      </c>
      <c r="CC17" s="388">
        <f t="shared" si="20"/>
        <v>0</v>
      </c>
      <c r="CD17" s="388">
        <f t="shared" si="21"/>
        <v>-324.8544000000004</v>
      </c>
      <c r="CE17" s="388">
        <f t="shared" si="22"/>
        <v>0</v>
      </c>
      <c r="CF17" s="388">
        <f t="shared" si="23"/>
        <v>0</v>
      </c>
      <c r="CG17" s="388">
        <f t="shared" si="24"/>
        <v>0</v>
      </c>
      <c r="CH17" s="388">
        <f t="shared" si="25"/>
        <v>-64.115999999999985</v>
      </c>
      <c r="CI17" s="388">
        <f t="shared" si="26"/>
        <v>0</v>
      </c>
      <c r="CJ17" s="388">
        <f t="shared" si="39"/>
        <v>-388.97040000000038</v>
      </c>
      <c r="CK17" s="388" t="str">
        <f t="shared" si="40"/>
        <v/>
      </c>
      <c r="CL17" s="388" t="str">
        <f t="shared" si="41"/>
        <v/>
      </c>
      <c r="CM17" s="388" t="str">
        <f t="shared" si="42"/>
        <v/>
      </c>
      <c r="CN17" s="388" t="str">
        <f t="shared" si="43"/>
        <v>0001-00</v>
      </c>
    </row>
    <row r="18" spans="1:92" ht="15.75" thickBot="1">
      <c r="A18" s="377" t="s">
        <v>162</v>
      </c>
      <c r="B18" s="377" t="s">
        <v>163</v>
      </c>
      <c r="C18" s="377" t="s">
        <v>282</v>
      </c>
      <c r="D18" s="377" t="s">
        <v>283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169</v>
      </c>
      <c r="K18" s="377" t="s">
        <v>284</v>
      </c>
      <c r="L18" s="377" t="s">
        <v>217</v>
      </c>
      <c r="M18" s="377" t="s">
        <v>172</v>
      </c>
      <c r="N18" s="377" t="s">
        <v>173</v>
      </c>
      <c r="O18" s="380">
        <v>1</v>
      </c>
      <c r="P18" s="386">
        <v>1</v>
      </c>
      <c r="Q18" s="386">
        <v>1</v>
      </c>
      <c r="R18" s="381">
        <v>80</v>
      </c>
      <c r="S18" s="386">
        <v>1</v>
      </c>
      <c r="T18" s="381">
        <v>70217.56</v>
      </c>
      <c r="U18" s="381">
        <v>0</v>
      </c>
      <c r="V18" s="381">
        <v>26717.49</v>
      </c>
      <c r="W18" s="381">
        <v>69929.600000000006</v>
      </c>
      <c r="X18" s="381">
        <v>27622.240000000002</v>
      </c>
      <c r="Y18" s="381">
        <v>69929.600000000006</v>
      </c>
      <c r="Z18" s="381">
        <v>28235.88</v>
      </c>
      <c r="AA18" s="377" t="s">
        <v>285</v>
      </c>
      <c r="AB18" s="377" t="s">
        <v>286</v>
      </c>
      <c r="AC18" s="377" t="s">
        <v>287</v>
      </c>
      <c r="AD18" s="377" t="s">
        <v>288</v>
      </c>
      <c r="AE18" s="377" t="s">
        <v>284</v>
      </c>
      <c r="AF18" s="377" t="s">
        <v>222</v>
      </c>
      <c r="AG18" s="377" t="s">
        <v>179</v>
      </c>
      <c r="AH18" s="382">
        <v>33.619999999999997</v>
      </c>
      <c r="AI18" s="382">
        <v>39263.800000000003</v>
      </c>
      <c r="AJ18" s="377" t="s">
        <v>180</v>
      </c>
      <c r="AK18" s="377" t="s">
        <v>181</v>
      </c>
      <c r="AL18" s="377" t="s">
        <v>182</v>
      </c>
      <c r="AM18" s="377" t="s">
        <v>183</v>
      </c>
      <c r="AN18" s="377" t="s">
        <v>66</v>
      </c>
      <c r="AO18" s="380">
        <v>80</v>
      </c>
      <c r="AP18" s="386">
        <v>1</v>
      </c>
      <c r="AQ18" s="386">
        <v>1</v>
      </c>
      <c r="AR18" s="384" t="s">
        <v>184</v>
      </c>
      <c r="AS18" s="388">
        <f t="shared" si="27"/>
        <v>1</v>
      </c>
      <c r="AT18">
        <f t="shared" si="28"/>
        <v>1</v>
      </c>
      <c r="AU18" s="388">
        <f>IF(AT18=0,"",IF(AND(AT18=1,M18="F",SUMIF(C2:C112,C18,AS2:AS112)&lt;=1),SUMIF(C2:C112,C18,AS2:AS112),IF(AND(AT18=1,M18="F",SUMIF(C2:C112,C18,AS2:AS112)&gt;1),1,"")))</f>
        <v>1</v>
      </c>
      <c r="AV18" s="388" t="str">
        <f>IF(AT18=0,"",IF(AND(AT18=3,M18="F",SUMIF(C2:C112,C18,AS2:AS112)&lt;=1),SUMIF(C2:C112,C18,AS2:AS112),IF(AND(AT18=3,M18="F",SUMIF(C2:C112,C18,AS2:AS112)&gt;1),1,"")))</f>
        <v/>
      </c>
      <c r="AW18" s="388">
        <f>SUMIF(C2:C112,C18,O2:O112)</f>
        <v>1</v>
      </c>
      <c r="AX18" s="388">
        <f>IF(AND(M18="F",AS18&lt;&gt;0),SUMIF(C2:C112,C18,W2:W112),0)</f>
        <v>69929.600000000006</v>
      </c>
      <c r="AY18" s="388">
        <f t="shared" si="29"/>
        <v>69929.600000000006</v>
      </c>
      <c r="AZ18" s="388" t="str">
        <f t="shared" si="30"/>
        <v/>
      </c>
      <c r="BA18" s="388">
        <f t="shared" si="31"/>
        <v>0</v>
      </c>
      <c r="BB18" s="388">
        <f t="shared" si="0"/>
        <v>12500</v>
      </c>
      <c r="BC18" s="388">
        <f t="shared" si="1"/>
        <v>0</v>
      </c>
      <c r="BD18" s="388">
        <f t="shared" si="2"/>
        <v>4335.6352000000006</v>
      </c>
      <c r="BE18" s="388">
        <f t="shared" si="3"/>
        <v>1013.9792000000001</v>
      </c>
      <c r="BF18" s="388">
        <f t="shared" si="4"/>
        <v>8349.5942400000004</v>
      </c>
      <c r="BG18" s="388">
        <f t="shared" si="5"/>
        <v>504.19241600000004</v>
      </c>
      <c r="BH18" s="388">
        <f t="shared" si="6"/>
        <v>0</v>
      </c>
      <c r="BI18" s="388">
        <f t="shared" si="7"/>
        <v>387.06033600000001</v>
      </c>
      <c r="BJ18" s="388">
        <f t="shared" si="8"/>
        <v>531.46496000000002</v>
      </c>
      <c r="BK18" s="388">
        <f t="shared" si="9"/>
        <v>0</v>
      </c>
      <c r="BL18" s="388">
        <f t="shared" si="32"/>
        <v>15121.926352</v>
      </c>
      <c r="BM18" s="388">
        <f t="shared" si="33"/>
        <v>0</v>
      </c>
      <c r="BN18" s="388">
        <f t="shared" si="10"/>
        <v>13750</v>
      </c>
      <c r="BO18" s="388">
        <f t="shared" si="11"/>
        <v>0</v>
      </c>
      <c r="BP18" s="388">
        <f t="shared" si="12"/>
        <v>4335.6352000000006</v>
      </c>
      <c r="BQ18" s="388">
        <f t="shared" si="13"/>
        <v>1013.9792000000001</v>
      </c>
      <c r="BR18" s="388">
        <f t="shared" si="14"/>
        <v>7818.1292800000001</v>
      </c>
      <c r="BS18" s="388">
        <f t="shared" si="15"/>
        <v>504.19241600000004</v>
      </c>
      <c r="BT18" s="388">
        <f t="shared" si="16"/>
        <v>0</v>
      </c>
      <c r="BU18" s="388">
        <f t="shared" si="17"/>
        <v>387.06033600000001</v>
      </c>
      <c r="BV18" s="388">
        <f t="shared" si="18"/>
        <v>426.57056000000006</v>
      </c>
      <c r="BW18" s="388">
        <f t="shared" si="19"/>
        <v>0</v>
      </c>
      <c r="BX18" s="388">
        <f t="shared" si="34"/>
        <v>14485.566992</v>
      </c>
      <c r="BY18" s="388">
        <f t="shared" si="35"/>
        <v>0</v>
      </c>
      <c r="BZ18" s="388">
        <f t="shared" si="36"/>
        <v>1250</v>
      </c>
      <c r="CA18" s="388">
        <f t="shared" si="37"/>
        <v>0</v>
      </c>
      <c r="CB18" s="388">
        <f t="shared" si="38"/>
        <v>0</v>
      </c>
      <c r="CC18" s="388">
        <f t="shared" si="20"/>
        <v>0</v>
      </c>
      <c r="CD18" s="388">
        <f t="shared" si="21"/>
        <v>-531.4649600000007</v>
      </c>
      <c r="CE18" s="388">
        <f t="shared" si="22"/>
        <v>0</v>
      </c>
      <c r="CF18" s="388">
        <f t="shared" si="23"/>
        <v>0</v>
      </c>
      <c r="CG18" s="388">
        <f t="shared" si="24"/>
        <v>0</v>
      </c>
      <c r="CH18" s="388">
        <f t="shared" si="25"/>
        <v>-104.89439999999998</v>
      </c>
      <c r="CI18" s="388">
        <f t="shared" si="26"/>
        <v>0</v>
      </c>
      <c r="CJ18" s="388">
        <f t="shared" si="39"/>
        <v>-636.35936000000072</v>
      </c>
      <c r="CK18" s="388" t="str">
        <f t="shared" si="40"/>
        <v/>
      </c>
      <c r="CL18" s="388" t="str">
        <f t="shared" si="41"/>
        <v/>
      </c>
      <c r="CM18" s="388" t="str">
        <f t="shared" si="42"/>
        <v/>
      </c>
      <c r="CN18" s="388" t="str">
        <f t="shared" si="43"/>
        <v>0001-00</v>
      </c>
    </row>
    <row r="19" spans="1:92" ht="15.75" thickBot="1">
      <c r="A19" s="377" t="s">
        <v>162</v>
      </c>
      <c r="B19" s="377" t="s">
        <v>163</v>
      </c>
      <c r="C19" s="377" t="s">
        <v>289</v>
      </c>
      <c r="D19" s="377" t="s">
        <v>290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291</v>
      </c>
      <c r="L19" s="377" t="s">
        <v>171</v>
      </c>
      <c r="M19" s="377" t="s">
        <v>189</v>
      </c>
      <c r="N19" s="377" t="s">
        <v>214</v>
      </c>
      <c r="O19" s="380">
        <v>0</v>
      </c>
      <c r="P19" s="386">
        <v>1</v>
      </c>
      <c r="Q19" s="386">
        <v>0</v>
      </c>
      <c r="R19" s="381">
        <v>0</v>
      </c>
      <c r="S19" s="386">
        <v>0</v>
      </c>
      <c r="T19" s="381">
        <v>0</v>
      </c>
      <c r="U19" s="381">
        <v>0</v>
      </c>
      <c r="V19" s="381">
        <v>0</v>
      </c>
      <c r="W19" s="381">
        <v>0</v>
      </c>
      <c r="X19" s="381">
        <v>0</v>
      </c>
      <c r="Y19" s="381">
        <v>0</v>
      </c>
      <c r="Z19" s="381">
        <v>0</v>
      </c>
      <c r="AA19" s="379"/>
      <c r="AB19" s="377" t="s">
        <v>45</v>
      </c>
      <c r="AC19" s="377" t="s">
        <v>45</v>
      </c>
      <c r="AD19" s="379"/>
      <c r="AE19" s="379"/>
      <c r="AF19" s="379"/>
      <c r="AG19" s="379"/>
      <c r="AH19" s="380">
        <v>0</v>
      </c>
      <c r="AI19" s="380">
        <v>0</v>
      </c>
      <c r="AJ19" s="379"/>
      <c r="AK19" s="379"/>
      <c r="AL19" s="377" t="s">
        <v>182</v>
      </c>
      <c r="AM19" s="379"/>
      <c r="AN19" s="379"/>
      <c r="AO19" s="380">
        <v>0</v>
      </c>
      <c r="AP19" s="386">
        <v>0</v>
      </c>
      <c r="AQ19" s="386">
        <v>0</v>
      </c>
      <c r="AR19" s="385"/>
      <c r="AS19" s="388">
        <f t="shared" si="27"/>
        <v>0</v>
      </c>
      <c r="AT19">
        <f t="shared" si="28"/>
        <v>0</v>
      </c>
      <c r="AU19" s="388" t="str">
        <f>IF(AT19=0,"",IF(AND(AT19=1,M19="F",SUMIF(C2:C112,C19,AS2:AS112)&lt;=1),SUMIF(C2:C112,C19,AS2:AS112),IF(AND(AT19=1,M19="F",SUMIF(C2:C112,C19,AS2:AS112)&gt;1),1,"")))</f>
        <v/>
      </c>
      <c r="AV19" s="388" t="str">
        <f>IF(AT19=0,"",IF(AND(AT19=3,M19="F",SUMIF(C2:C112,C19,AS2:AS112)&lt;=1),SUMIF(C2:C112,C19,AS2:AS112),IF(AND(AT19=3,M19="F",SUMIF(C2:C112,C19,AS2:AS112)&gt;1),1,"")))</f>
        <v/>
      </c>
      <c r="AW19" s="388">
        <f>SUMIF(C2:C112,C19,O2:O112)</f>
        <v>0</v>
      </c>
      <c r="AX19" s="388">
        <f>IF(AND(M19="F",AS19&lt;&gt;0),SUMIF(C2:C112,C19,W2:W112),0)</f>
        <v>0</v>
      </c>
      <c r="AY19" s="388" t="str">
        <f t="shared" si="29"/>
        <v/>
      </c>
      <c r="AZ19" s="388" t="str">
        <f t="shared" si="30"/>
        <v/>
      </c>
      <c r="BA19" s="388">
        <f t="shared" si="31"/>
        <v>0</v>
      </c>
      <c r="BB19" s="388">
        <f t="shared" si="0"/>
        <v>0</v>
      </c>
      <c r="BC19" s="388">
        <f t="shared" si="1"/>
        <v>0</v>
      </c>
      <c r="BD19" s="388">
        <f t="shared" si="2"/>
        <v>0</v>
      </c>
      <c r="BE19" s="388">
        <f t="shared" si="3"/>
        <v>0</v>
      </c>
      <c r="BF19" s="388">
        <f t="shared" si="4"/>
        <v>0</v>
      </c>
      <c r="BG19" s="388">
        <f t="shared" si="5"/>
        <v>0</v>
      </c>
      <c r="BH19" s="388">
        <f t="shared" si="6"/>
        <v>0</v>
      </c>
      <c r="BI19" s="388">
        <f t="shared" si="7"/>
        <v>0</v>
      </c>
      <c r="BJ19" s="388">
        <f t="shared" si="8"/>
        <v>0</v>
      </c>
      <c r="BK19" s="388">
        <f t="shared" si="9"/>
        <v>0</v>
      </c>
      <c r="BL19" s="388">
        <f t="shared" si="32"/>
        <v>0</v>
      </c>
      <c r="BM19" s="388">
        <f t="shared" si="33"/>
        <v>0</v>
      </c>
      <c r="BN19" s="388">
        <f t="shared" si="10"/>
        <v>0</v>
      </c>
      <c r="BO19" s="388">
        <f t="shared" si="11"/>
        <v>0</v>
      </c>
      <c r="BP19" s="388">
        <f t="shared" si="12"/>
        <v>0</v>
      </c>
      <c r="BQ19" s="388">
        <f t="shared" si="13"/>
        <v>0</v>
      </c>
      <c r="BR19" s="388">
        <f t="shared" si="14"/>
        <v>0</v>
      </c>
      <c r="BS19" s="388">
        <f t="shared" si="15"/>
        <v>0</v>
      </c>
      <c r="BT19" s="388">
        <f t="shared" si="16"/>
        <v>0</v>
      </c>
      <c r="BU19" s="388">
        <f t="shared" si="17"/>
        <v>0</v>
      </c>
      <c r="BV19" s="388">
        <f t="shared" si="18"/>
        <v>0</v>
      </c>
      <c r="BW19" s="388">
        <f t="shared" si="19"/>
        <v>0</v>
      </c>
      <c r="BX19" s="388">
        <f t="shared" si="34"/>
        <v>0</v>
      </c>
      <c r="BY19" s="388">
        <f t="shared" si="35"/>
        <v>0</v>
      </c>
      <c r="BZ19" s="388">
        <f t="shared" si="36"/>
        <v>0</v>
      </c>
      <c r="CA19" s="388">
        <f t="shared" si="37"/>
        <v>0</v>
      </c>
      <c r="CB19" s="388">
        <f t="shared" si="38"/>
        <v>0</v>
      </c>
      <c r="CC19" s="388">
        <f t="shared" si="20"/>
        <v>0</v>
      </c>
      <c r="CD19" s="388">
        <f t="shared" si="21"/>
        <v>0</v>
      </c>
      <c r="CE19" s="388">
        <f t="shared" si="22"/>
        <v>0</v>
      </c>
      <c r="CF19" s="388">
        <f t="shared" si="23"/>
        <v>0</v>
      </c>
      <c r="CG19" s="388">
        <f t="shared" si="24"/>
        <v>0</v>
      </c>
      <c r="CH19" s="388">
        <f t="shared" si="25"/>
        <v>0</v>
      </c>
      <c r="CI19" s="388">
        <f t="shared" si="26"/>
        <v>0</v>
      </c>
      <c r="CJ19" s="388">
        <f t="shared" si="39"/>
        <v>0</v>
      </c>
      <c r="CK19" s="388" t="str">
        <f t="shared" si="40"/>
        <v/>
      </c>
      <c r="CL19" s="388">
        <f t="shared" si="41"/>
        <v>0</v>
      </c>
      <c r="CM19" s="388">
        <f t="shared" si="42"/>
        <v>0</v>
      </c>
      <c r="CN19" s="388" t="str">
        <f t="shared" si="43"/>
        <v>0001-00</v>
      </c>
    </row>
    <row r="20" spans="1:92" ht="15.75" thickBot="1">
      <c r="A20" s="377" t="s">
        <v>162</v>
      </c>
      <c r="B20" s="377" t="s">
        <v>163</v>
      </c>
      <c r="C20" s="377" t="s">
        <v>292</v>
      </c>
      <c r="D20" s="377" t="s">
        <v>243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169</v>
      </c>
      <c r="K20" s="377" t="s">
        <v>244</v>
      </c>
      <c r="L20" s="377" t="s">
        <v>177</v>
      </c>
      <c r="M20" s="377" t="s">
        <v>172</v>
      </c>
      <c r="N20" s="377" t="s">
        <v>173</v>
      </c>
      <c r="O20" s="380">
        <v>1</v>
      </c>
      <c r="P20" s="386">
        <v>1</v>
      </c>
      <c r="Q20" s="386">
        <v>1</v>
      </c>
      <c r="R20" s="381">
        <v>80</v>
      </c>
      <c r="S20" s="386">
        <v>1</v>
      </c>
      <c r="T20" s="381">
        <v>43875.199999999997</v>
      </c>
      <c r="U20" s="381">
        <v>0</v>
      </c>
      <c r="V20" s="381">
        <v>19138.02</v>
      </c>
      <c r="W20" s="381">
        <v>54121.599999999999</v>
      </c>
      <c r="X20" s="381">
        <v>24203.759999999998</v>
      </c>
      <c r="Y20" s="381">
        <v>54121.599999999999</v>
      </c>
      <c r="Z20" s="381">
        <v>24961.26</v>
      </c>
      <c r="AA20" s="377" t="s">
        <v>293</v>
      </c>
      <c r="AB20" s="377" t="s">
        <v>294</v>
      </c>
      <c r="AC20" s="377" t="s">
        <v>295</v>
      </c>
      <c r="AD20" s="377" t="s">
        <v>288</v>
      </c>
      <c r="AE20" s="377" t="s">
        <v>244</v>
      </c>
      <c r="AF20" s="377" t="s">
        <v>237</v>
      </c>
      <c r="AG20" s="377" t="s">
        <v>179</v>
      </c>
      <c r="AH20" s="382">
        <v>26.02</v>
      </c>
      <c r="AI20" s="382">
        <v>9104.1</v>
      </c>
      <c r="AJ20" s="377" t="s">
        <v>180</v>
      </c>
      <c r="AK20" s="377" t="s">
        <v>181</v>
      </c>
      <c r="AL20" s="377" t="s">
        <v>182</v>
      </c>
      <c r="AM20" s="377" t="s">
        <v>183</v>
      </c>
      <c r="AN20" s="377" t="s">
        <v>66</v>
      </c>
      <c r="AO20" s="380">
        <v>80</v>
      </c>
      <c r="AP20" s="386">
        <v>1</v>
      </c>
      <c r="AQ20" s="386">
        <v>1</v>
      </c>
      <c r="AR20" s="384" t="s">
        <v>184</v>
      </c>
      <c r="AS20" s="388">
        <f t="shared" si="27"/>
        <v>1</v>
      </c>
      <c r="AT20">
        <f t="shared" si="28"/>
        <v>1</v>
      </c>
      <c r="AU20" s="388">
        <f>IF(AT20=0,"",IF(AND(AT20=1,M20="F",SUMIF(C2:C112,C20,AS2:AS112)&lt;=1),SUMIF(C2:C112,C20,AS2:AS112),IF(AND(AT20=1,M20="F",SUMIF(C2:C112,C20,AS2:AS112)&gt;1),1,"")))</f>
        <v>1</v>
      </c>
      <c r="AV20" s="388" t="str">
        <f>IF(AT20=0,"",IF(AND(AT20=3,M20="F",SUMIF(C2:C112,C20,AS2:AS112)&lt;=1),SUMIF(C2:C112,C20,AS2:AS112),IF(AND(AT20=3,M20="F",SUMIF(C2:C112,C20,AS2:AS112)&gt;1),1,"")))</f>
        <v/>
      </c>
      <c r="AW20" s="388">
        <f>SUMIF(C2:C112,C20,O2:O112)</f>
        <v>1</v>
      </c>
      <c r="AX20" s="388">
        <f>IF(AND(M20="F",AS20&lt;&gt;0),SUMIF(C2:C112,C20,W2:W112),0)</f>
        <v>54121.599999999999</v>
      </c>
      <c r="AY20" s="388">
        <f t="shared" si="29"/>
        <v>54121.599999999999</v>
      </c>
      <c r="AZ20" s="388" t="str">
        <f t="shared" si="30"/>
        <v/>
      </c>
      <c r="BA20" s="388">
        <f t="shared" si="31"/>
        <v>0</v>
      </c>
      <c r="BB20" s="388">
        <f t="shared" si="0"/>
        <v>12500</v>
      </c>
      <c r="BC20" s="388">
        <f t="shared" si="1"/>
        <v>0</v>
      </c>
      <c r="BD20" s="388">
        <f t="shared" si="2"/>
        <v>3355.5391999999997</v>
      </c>
      <c r="BE20" s="388">
        <f t="shared" si="3"/>
        <v>784.76319999999998</v>
      </c>
      <c r="BF20" s="388">
        <f t="shared" si="4"/>
        <v>6462.1190400000005</v>
      </c>
      <c r="BG20" s="388">
        <f t="shared" si="5"/>
        <v>390.21673600000003</v>
      </c>
      <c r="BH20" s="388">
        <f t="shared" si="6"/>
        <v>0</v>
      </c>
      <c r="BI20" s="388">
        <f t="shared" si="7"/>
        <v>299.56305600000002</v>
      </c>
      <c r="BJ20" s="388">
        <f t="shared" si="8"/>
        <v>411.32416000000001</v>
      </c>
      <c r="BK20" s="388">
        <f t="shared" si="9"/>
        <v>0</v>
      </c>
      <c r="BL20" s="388">
        <f t="shared" si="32"/>
        <v>11703.525392000001</v>
      </c>
      <c r="BM20" s="388">
        <f t="shared" si="33"/>
        <v>0</v>
      </c>
      <c r="BN20" s="388">
        <f t="shared" si="10"/>
        <v>13750</v>
      </c>
      <c r="BO20" s="388">
        <f t="shared" si="11"/>
        <v>0</v>
      </c>
      <c r="BP20" s="388">
        <f t="shared" si="12"/>
        <v>3355.5391999999997</v>
      </c>
      <c r="BQ20" s="388">
        <f t="shared" si="13"/>
        <v>784.76319999999998</v>
      </c>
      <c r="BR20" s="388">
        <f t="shared" si="14"/>
        <v>6050.7948799999995</v>
      </c>
      <c r="BS20" s="388">
        <f t="shared" si="15"/>
        <v>390.21673600000003</v>
      </c>
      <c r="BT20" s="388">
        <f t="shared" si="16"/>
        <v>0</v>
      </c>
      <c r="BU20" s="388">
        <f t="shared" si="17"/>
        <v>299.56305600000002</v>
      </c>
      <c r="BV20" s="388">
        <f t="shared" si="18"/>
        <v>330.14176000000003</v>
      </c>
      <c r="BW20" s="388">
        <f t="shared" si="19"/>
        <v>0</v>
      </c>
      <c r="BX20" s="388">
        <f t="shared" si="34"/>
        <v>11211.018832</v>
      </c>
      <c r="BY20" s="388">
        <f t="shared" si="35"/>
        <v>0</v>
      </c>
      <c r="BZ20" s="388">
        <f t="shared" si="36"/>
        <v>1250</v>
      </c>
      <c r="CA20" s="388">
        <f t="shared" si="37"/>
        <v>0</v>
      </c>
      <c r="CB20" s="388">
        <f t="shared" si="38"/>
        <v>0</v>
      </c>
      <c r="CC20" s="388">
        <f t="shared" si="20"/>
        <v>0</v>
      </c>
      <c r="CD20" s="388">
        <f t="shared" si="21"/>
        <v>-411.32416000000052</v>
      </c>
      <c r="CE20" s="388">
        <f t="shared" si="22"/>
        <v>0</v>
      </c>
      <c r="CF20" s="388">
        <f t="shared" si="23"/>
        <v>0</v>
      </c>
      <c r="CG20" s="388">
        <f t="shared" si="24"/>
        <v>0</v>
      </c>
      <c r="CH20" s="388">
        <f t="shared" si="25"/>
        <v>-81.182399999999973</v>
      </c>
      <c r="CI20" s="388">
        <f t="shared" si="26"/>
        <v>0</v>
      </c>
      <c r="CJ20" s="388">
        <f t="shared" si="39"/>
        <v>-492.50656000000049</v>
      </c>
      <c r="CK20" s="388" t="str">
        <f t="shared" si="40"/>
        <v/>
      </c>
      <c r="CL20" s="388" t="str">
        <f t="shared" si="41"/>
        <v/>
      </c>
      <c r="CM20" s="388" t="str">
        <f t="shared" si="42"/>
        <v/>
      </c>
      <c r="CN20" s="388" t="str">
        <f t="shared" si="43"/>
        <v>0001-00</v>
      </c>
    </row>
    <row r="21" spans="1:92" ht="15.75" thickBot="1">
      <c r="A21" s="377" t="s">
        <v>162</v>
      </c>
      <c r="B21" s="377" t="s">
        <v>163</v>
      </c>
      <c r="C21" s="377" t="s">
        <v>296</v>
      </c>
      <c r="D21" s="377" t="s">
        <v>256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169</v>
      </c>
      <c r="K21" s="377" t="s">
        <v>257</v>
      </c>
      <c r="L21" s="377" t="s">
        <v>202</v>
      </c>
      <c r="M21" s="377" t="s">
        <v>172</v>
      </c>
      <c r="N21" s="377" t="s">
        <v>173</v>
      </c>
      <c r="O21" s="380">
        <v>1</v>
      </c>
      <c r="P21" s="386">
        <v>1</v>
      </c>
      <c r="Q21" s="386">
        <v>1</v>
      </c>
      <c r="R21" s="381">
        <v>80</v>
      </c>
      <c r="S21" s="386">
        <v>1</v>
      </c>
      <c r="T21" s="381">
        <v>32475.32</v>
      </c>
      <c r="U21" s="381">
        <v>0</v>
      </c>
      <c r="V21" s="381">
        <v>16669.36</v>
      </c>
      <c r="W21" s="381">
        <v>42889.599999999999</v>
      </c>
      <c r="X21" s="381">
        <v>21774.84</v>
      </c>
      <c r="Y21" s="381">
        <v>42889.599999999999</v>
      </c>
      <c r="Z21" s="381">
        <v>22634.54</v>
      </c>
      <c r="AA21" s="377" t="s">
        <v>297</v>
      </c>
      <c r="AB21" s="377" t="s">
        <v>298</v>
      </c>
      <c r="AC21" s="377" t="s">
        <v>299</v>
      </c>
      <c r="AD21" s="377" t="s">
        <v>197</v>
      </c>
      <c r="AE21" s="377" t="s">
        <v>257</v>
      </c>
      <c r="AF21" s="377" t="s">
        <v>262</v>
      </c>
      <c r="AG21" s="377" t="s">
        <v>179</v>
      </c>
      <c r="AH21" s="382">
        <v>20.62</v>
      </c>
      <c r="AI21" s="380">
        <v>1240</v>
      </c>
      <c r="AJ21" s="377" t="s">
        <v>180</v>
      </c>
      <c r="AK21" s="377" t="s">
        <v>181</v>
      </c>
      <c r="AL21" s="377" t="s">
        <v>182</v>
      </c>
      <c r="AM21" s="377" t="s">
        <v>183</v>
      </c>
      <c r="AN21" s="377" t="s">
        <v>66</v>
      </c>
      <c r="AO21" s="380">
        <v>80</v>
      </c>
      <c r="AP21" s="386">
        <v>1</v>
      </c>
      <c r="AQ21" s="386">
        <v>1</v>
      </c>
      <c r="AR21" s="384" t="s">
        <v>184</v>
      </c>
      <c r="AS21" s="388">
        <f t="shared" si="27"/>
        <v>1</v>
      </c>
      <c r="AT21">
        <f t="shared" si="28"/>
        <v>1</v>
      </c>
      <c r="AU21" s="388">
        <f>IF(AT21=0,"",IF(AND(AT21=1,M21="F",SUMIF(C2:C112,C21,AS2:AS112)&lt;=1),SUMIF(C2:C112,C21,AS2:AS112),IF(AND(AT21=1,M21="F",SUMIF(C2:C112,C21,AS2:AS112)&gt;1),1,"")))</f>
        <v>1</v>
      </c>
      <c r="AV21" s="388" t="str">
        <f>IF(AT21=0,"",IF(AND(AT21=3,M21="F",SUMIF(C2:C112,C21,AS2:AS112)&lt;=1),SUMIF(C2:C112,C21,AS2:AS112),IF(AND(AT21=3,M21="F",SUMIF(C2:C112,C21,AS2:AS112)&gt;1),1,"")))</f>
        <v/>
      </c>
      <c r="AW21" s="388">
        <f>SUMIF(C2:C112,C21,O2:O112)</f>
        <v>1</v>
      </c>
      <c r="AX21" s="388">
        <f>IF(AND(M21="F",AS21&lt;&gt;0),SUMIF(C2:C112,C21,W2:W112),0)</f>
        <v>42889.599999999999</v>
      </c>
      <c r="AY21" s="388">
        <f t="shared" si="29"/>
        <v>42889.599999999999</v>
      </c>
      <c r="AZ21" s="388" t="str">
        <f t="shared" si="30"/>
        <v/>
      </c>
      <c r="BA21" s="388">
        <f t="shared" si="31"/>
        <v>0</v>
      </c>
      <c r="BB21" s="388">
        <f t="shared" si="0"/>
        <v>12500</v>
      </c>
      <c r="BC21" s="388">
        <f t="shared" si="1"/>
        <v>0</v>
      </c>
      <c r="BD21" s="388">
        <f t="shared" si="2"/>
        <v>2659.1551999999997</v>
      </c>
      <c r="BE21" s="388">
        <f t="shared" si="3"/>
        <v>621.89920000000006</v>
      </c>
      <c r="BF21" s="388">
        <f t="shared" si="4"/>
        <v>5121.0182400000003</v>
      </c>
      <c r="BG21" s="388">
        <f t="shared" si="5"/>
        <v>309.234016</v>
      </c>
      <c r="BH21" s="388">
        <f t="shared" si="6"/>
        <v>0</v>
      </c>
      <c r="BI21" s="388">
        <f t="shared" si="7"/>
        <v>237.393936</v>
      </c>
      <c r="BJ21" s="388">
        <f t="shared" si="8"/>
        <v>325.96096</v>
      </c>
      <c r="BK21" s="388">
        <f t="shared" si="9"/>
        <v>0</v>
      </c>
      <c r="BL21" s="388">
        <f t="shared" si="32"/>
        <v>9274.6615520000014</v>
      </c>
      <c r="BM21" s="388">
        <f t="shared" si="33"/>
        <v>0</v>
      </c>
      <c r="BN21" s="388">
        <f t="shared" si="10"/>
        <v>13750</v>
      </c>
      <c r="BO21" s="388">
        <f t="shared" si="11"/>
        <v>0</v>
      </c>
      <c r="BP21" s="388">
        <f t="shared" si="12"/>
        <v>2659.1551999999997</v>
      </c>
      <c r="BQ21" s="388">
        <f t="shared" si="13"/>
        <v>621.89920000000006</v>
      </c>
      <c r="BR21" s="388">
        <f t="shared" si="14"/>
        <v>4795.05728</v>
      </c>
      <c r="BS21" s="388">
        <f t="shared" si="15"/>
        <v>309.234016</v>
      </c>
      <c r="BT21" s="388">
        <f t="shared" si="16"/>
        <v>0</v>
      </c>
      <c r="BU21" s="388">
        <f t="shared" si="17"/>
        <v>237.393936</v>
      </c>
      <c r="BV21" s="388">
        <f t="shared" si="18"/>
        <v>261.62655999999998</v>
      </c>
      <c r="BW21" s="388">
        <f t="shared" si="19"/>
        <v>0</v>
      </c>
      <c r="BX21" s="388">
        <f t="shared" si="34"/>
        <v>8884.3661920000013</v>
      </c>
      <c r="BY21" s="388">
        <f t="shared" si="35"/>
        <v>0</v>
      </c>
      <c r="BZ21" s="388">
        <f t="shared" si="36"/>
        <v>1250</v>
      </c>
      <c r="CA21" s="388">
        <f t="shared" si="37"/>
        <v>0</v>
      </c>
      <c r="CB21" s="388">
        <f t="shared" si="38"/>
        <v>0</v>
      </c>
      <c r="CC21" s="388">
        <f t="shared" si="20"/>
        <v>0</v>
      </c>
      <c r="CD21" s="388">
        <f t="shared" si="21"/>
        <v>-325.9609600000004</v>
      </c>
      <c r="CE21" s="388">
        <f t="shared" si="22"/>
        <v>0</v>
      </c>
      <c r="CF21" s="388">
        <f t="shared" si="23"/>
        <v>0</v>
      </c>
      <c r="CG21" s="388">
        <f t="shared" si="24"/>
        <v>0</v>
      </c>
      <c r="CH21" s="388">
        <f t="shared" si="25"/>
        <v>-64.334399999999974</v>
      </c>
      <c r="CI21" s="388">
        <f t="shared" si="26"/>
        <v>0</v>
      </c>
      <c r="CJ21" s="388">
        <f t="shared" si="39"/>
        <v>-390.29536000000036</v>
      </c>
      <c r="CK21" s="388" t="str">
        <f t="shared" si="40"/>
        <v/>
      </c>
      <c r="CL21" s="388" t="str">
        <f t="shared" si="41"/>
        <v/>
      </c>
      <c r="CM21" s="388" t="str">
        <f t="shared" si="42"/>
        <v/>
      </c>
      <c r="CN21" s="388" t="str">
        <f t="shared" si="43"/>
        <v>0001-00</v>
      </c>
    </row>
    <row r="22" spans="1:92" ht="15.75" thickBot="1">
      <c r="A22" s="377" t="s">
        <v>162</v>
      </c>
      <c r="B22" s="377" t="s">
        <v>163</v>
      </c>
      <c r="C22" s="377" t="s">
        <v>300</v>
      </c>
      <c r="D22" s="377" t="s">
        <v>301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169</v>
      </c>
      <c r="K22" s="377" t="s">
        <v>302</v>
      </c>
      <c r="L22" s="377" t="s">
        <v>177</v>
      </c>
      <c r="M22" s="377" t="s">
        <v>172</v>
      </c>
      <c r="N22" s="377" t="s">
        <v>173</v>
      </c>
      <c r="O22" s="380">
        <v>1</v>
      </c>
      <c r="P22" s="386">
        <v>1</v>
      </c>
      <c r="Q22" s="386">
        <v>1</v>
      </c>
      <c r="R22" s="381">
        <v>80</v>
      </c>
      <c r="S22" s="386">
        <v>1</v>
      </c>
      <c r="T22" s="381">
        <v>39422.400000000001</v>
      </c>
      <c r="U22" s="381">
        <v>0</v>
      </c>
      <c r="V22" s="381">
        <v>19187.03</v>
      </c>
      <c r="W22" s="381">
        <v>54017.599999999999</v>
      </c>
      <c r="X22" s="381">
        <v>24181.279999999999</v>
      </c>
      <c r="Y22" s="381">
        <v>54017.599999999999</v>
      </c>
      <c r="Z22" s="381">
        <v>24939.71</v>
      </c>
      <c r="AA22" s="377" t="s">
        <v>303</v>
      </c>
      <c r="AB22" s="377" t="s">
        <v>304</v>
      </c>
      <c r="AC22" s="377" t="s">
        <v>305</v>
      </c>
      <c r="AD22" s="377" t="s">
        <v>197</v>
      </c>
      <c r="AE22" s="377" t="s">
        <v>302</v>
      </c>
      <c r="AF22" s="377" t="s">
        <v>237</v>
      </c>
      <c r="AG22" s="377" t="s">
        <v>179</v>
      </c>
      <c r="AH22" s="382">
        <v>25.97</v>
      </c>
      <c r="AI22" s="380">
        <v>1798</v>
      </c>
      <c r="AJ22" s="377" t="s">
        <v>180</v>
      </c>
      <c r="AK22" s="377" t="s">
        <v>181</v>
      </c>
      <c r="AL22" s="377" t="s">
        <v>182</v>
      </c>
      <c r="AM22" s="377" t="s">
        <v>183</v>
      </c>
      <c r="AN22" s="377" t="s">
        <v>66</v>
      </c>
      <c r="AO22" s="380">
        <v>80</v>
      </c>
      <c r="AP22" s="386">
        <v>1</v>
      </c>
      <c r="AQ22" s="386">
        <v>1</v>
      </c>
      <c r="AR22" s="384" t="s">
        <v>184</v>
      </c>
      <c r="AS22" s="388">
        <f t="shared" si="27"/>
        <v>1</v>
      </c>
      <c r="AT22">
        <f t="shared" si="28"/>
        <v>1</v>
      </c>
      <c r="AU22" s="388">
        <f>IF(AT22=0,"",IF(AND(AT22=1,M22="F",SUMIF(C2:C112,C22,AS2:AS112)&lt;=1),SUMIF(C2:C112,C22,AS2:AS112),IF(AND(AT22=1,M22="F",SUMIF(C2:C112,C22,AS2:AS112)&gt;1),1,"")))</f>
        <v>1</v>
      </c>
      <c r="AV22" s="388" t="str">
        <f>IF(AT22=0,"",IF(AND(AT22=3,M22="F",SUMIF(C2:C112,C22,AS2:AS112)&lt;=1),SUMIF(C2:C112,C22,AS2:AS112),IF(AND(AT22=3,M22="F",SUMIF(C2:C112,C22,AS2:AS112)&gt;1),1,"")))</f>
        <v/>
      </c>
      <c r="AW22" s="388">
        <f>SUMIF(C2:C112,C22,O2:O112)</f>
        <v>1</v>
      </c>
      <c r="AX22" s="388">
        <f>IF(AND(M22="F",AS22&lt;&gt;0),SUMIF(C2:C112,C22,W2:W112),0)</f>
        <v>54017.599999999999</v>
      </c>
      <c r="AY22" s="388">
        <f t="shared" si="29"/>
        <v>54017.599999999999</v>
      </c>
      <c r="AZ22" s="388" t="str">
        <f t="shared" si="30"/>
        <v/>
      </c>
      <c r="BA22" s="388">
        <f t="shared" si="31"/>
        <v>0</v>
      </c>
      <c r="BB22" s="388">
        <f t="shared" si="0"/>
        <v>12500</v>
      </c>
      <c r="BC22" s="388">
        <f t="shared" si="1"/>
        <v>0</v>
      </c>
      <c r="BD22" s="388">
        <f t="shared" si="2"/>
        <v>3349.0911999999998</v>
      </c>
      <c r="BE22" s="388">
        <f t="shared" si="3"/>
        <v>783.25520000000006</v>
      </c>
      <c r="BF22" s="388">
        <f t="shared" si="4"/>
        <v>6449.7014399999998</v>
      </c>
      <c r="BG22" s="388">
        <f t="shared" si="5"/>
        <v>389.46689600000002</v>
      </c>
      <c r="BH22" s="388">
        <f t="shared" si="6"/>
        <v>0</v>
      </c>
      <c r="BI22" s="388">
        <f t="shared" si="7"/>
        <v>298.987416</v>
      </c>
      <c r="BJ22" s="388">
        <f t="shared" si="8"/>
        <v>410.53375999999997</v>
      </c>
      <c r="BK22" s="388">
        <f t="shared" si="9"/>
        <v>0</v>
      </c>
      <c r="BL22" s="388">
        <f t="shared" si="32"/>
        <v>11681.035911999999</v>
      </c>
      <c r="BM22" s="388">
        <f t="shared" si="33"/>
        <v>0</v>
      </c>
      <c r="BN22" s="388">
        <f t="shared" si="10"/>
        <v>13750</v>
      </c>
      <c r="BO22" s="388">
        <f t="shared" si="11"/>
        <v>0</v>
      </c>
      <c r="BP22" s="388">
        <f t="shared" si="12"/>
        <v>3349.0911999999998</v>
      </c>
      <c r="BQ22" s="388">
        <f t="shared" si="13"/>
        <v>783.25520000000006</v>
      </c>
      <c r="BR22" s="388">
        <f t="shared" si="14"/>
        <v>6039.1676799999996</v>
      </c>
      <c r="BS22" s="388">
        <f t="shared" si="15"/>
        <v>389.46689600000002</v>
      </c>
      <c r="BT22" s="388">
        <f t="shared" si="16"/>
        <v>0</v>
      </c>
      <c r="BU22" s="388">
        <f t="shared" si="17"/>
        <v>298.987416</v>
      </c>
      <c r="BV22" s="388">
        <f t="shared" si="18"/>
        <v>329.50736000000001</v>
      </c>
      <c r="BW22" s="388">
        <f t="shared" si="19"/>
        <v>0</v>
      </c>
      <c r="BX22" s="388">
        <f t="shared" si="34"/>
        <v>11189.475752</v>
      </c>
      <c r="BY22" s="388">
        <f t="shared" si="35"/>
        <v>0</v>
      </c>
      <c r="BZ22" s="388">
        <f t="shared" si="36"/>
        <v>1250</v>
      </c>
      <c r="CA22" s="388">
        <f t="shared" si="37"/>
        <v>0</v>
      </c>
      <c r="CB22" s="388">
        <f t="shared" si="38"/>
        <v>0</v>
      </c>
      <c r="CC22" s="388">
        <f t="shared" si="20"/>
        <v>0</v>
      </c>
      <c r="CD22" s="388">
        <f t="shared" si="21"/>
        <v>-410.53376000000048</v>
      </c>
      <c r="CE22" s="388">
        <f t="shared" si="22"/>
        <v>0</v>
      </c>
      <c r="CF22" s="388">
        <f t="shared" si="23"/>
        <v>0</v>
      </c>
      <c r="CG22" s="388">
        <f t="shared" si="24"/>
        <v>0</v>
      </c>
      <c r="CH22" s="388">
        <f t="shared" si="25"/>
        <v>-81.026399999999981</v>
      </c>
      <c r="CI22" s="388">
        <f t="shared" si="26"/>
        <v>0</v>
      </c>
      <c r="CJ22" s="388">
        <f t="shared" si="39"/>
        <v>-491.56016000000045</v>
      </c>
      <c r="CK22" s="388" t="str">
        <f t="shared" si="40"/>
        <v/>
      </c>
      <c r="CL22" s="388" t="str">
        <f t="shared" si="41"/>
        <v/>
      </c>
      <c r="CM22" s="388" t="str">
        <f t="shared" si="42"/>
        <v/>
      </c>
      <c r="CN22" s="388" t="str">
        <f t="shared" si="43"/>
        <v>0001-00</v>
      </c>
    </row>
    <row r="23" spans="1:92" ht="15.75" thickBot="1">
      <c r="A23" s="377" t="s">
        <v>162</v>
      </c>
      <c r="B23" s="377" t="s">
        <v>163</v>
      </c>
      <c r="C23" s="377" t="s">
        <v>306</v>
      </c>
      <c r="D23" s="377" t="s">
        <v>307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169</v>
      </c>
      <c r="K23" s="377" t="s">
        <v>308</v>
      </c>
      <c r="L23" s="377" t="s">
        <v>177</v>
      </c>
      <c r="M23" s="377" t="s">
        <v>172</v>
      </c>
      <c r="N23" s="377" t="s">
        <v>173</v>
      </c>
      <c r="O23" s="380">
        <v>1</v>
      </c>
      <c r="P23" s="386">
        <v>1</v>
      </c>
      <c r="Q23" s="386">
        <v>1</v>
      </c>
      <c r="R23" s="381">
        <v>80</v>
      </c>
      <c r="S23" s="386">
        <v>1</v>
      </c>
      <c r="T23" s="381">
        <v>54470.1</v>
      </c>
      <c r="U23" s="381">
        <v>0</v>
      </c>
      <c r="V23" s="381">
        <v>23140.05</v>
      </c>
      <c r="W23" s="381">
        <v>58884.800000000003</v>
      </c>
      <c r="X23" s="381">
        <v>25233.8</v>
      </c>
      <c r="Y23" s="381">
        <v>58884.800000000003</v>
      </c>
      <c r="Z23" s="381">
        <v>25947.95</v>
      </c>
      <c r="AA23" s="377" t="s">
        <v>309</v>
      </c>
      <c r="AB23" s="377" t="s">
        <v>310</v>
      </c>
      <c r="AC23" s="377" t="s">
        <v>311</v>
      </c>
      <c r="AD23" s="377" t="s">
        <v>312</v>
      </c>
      <c r="AE23" s="377" t="s">
        <v>308</v>
      </c>
      <c r="AF23" s="377" t="s">
        <v>237</v>
      </c>
      <c r="AG23" s="377" t="s">
        <v>179</v>
      </c>
      <c r="AH23" s="382">
        <v>28.31</v>
      </c>
      <c r="AI23" s="382">
        <v>6647.3</v>
      </c>
      <c r="AJ23" s="377" t="s">
        <v>180</v>
      </c>
      <c r="AK23" s="377" t="s">
        <v>181</v>
      </c>
      <c r="AL23" s="377" t="s">
        <v>182</v>
      </c>
      <c r="AM23" s="377" t="s">
        <v>183</v>
      </c>
      <c r="AN23" s="377" t="s">
        <v>66</v>
      </c>
      <c r="AO23" s="380">
        <v>80</v>
      </c>
      <c r="AP23" s="386">
        <v>1</v>
      </c>
      <c r="AQ23" s="386">
        <v>1</v>
      </c>
      <c r="AR23" s="384" t="s">
        <v>184</v>
      </c>
      <c r="AS23" s="388">
        <f t="shared" si="27"/>
        <v>1</v>
      </c>
      <c r="AT23">
        <f t="shared" si="28"/>
        <v>1</v>
      </c>
      <c r="AU23" s="388">
        <f>IF(AT23=0,"",IF(AND(AT23=1,M23="F",SUMIF(C2:C112,C23,AS2:AS112)&lt;=1),SUMIF(C2:C112,C23,AS2:AS112),IF(AND(AT23=1,M23="F",SUMIF(C2:C112,C23,AS2:AS112)&gt;1),1,"")))</f>
        <v>1</v>
      </c>
      <c r="AV23" s="388" t="str">
        <f>IF(AT23=0,"",IF(AND(AT23=3,M23="F",SUMIF(C2:C112,C23,AS2:AS112)&lt;=1),SUMIF(C2:C112,C23,AS2:AS112),IF(AND(AT23=3,M23="F",SUMIF(C2:C112,C23,AS2:AS112)&gt;1),1,"")))</f>
        <v/>
      </c>
      <c r="AW23" s="388">
        <f>SUMIF(C2:C112,C23,O2:O112)</f>
        <v>1</v>
      </c>
      <c r="AX23" s="388">
        <f>IF(AND(M23="F",AS23&lt;&gt;0),SUMIF(C2:C112,C23,W2:W112),0)</f>
        <v>58884.800000000003</v>
      </c>
      <c r="AY23" s="388">
        <f t="shared" si="29"/>
        <v>58884.800000000003</v>
      </c>
      <c r="AZ23" s="388" t="str">
        <f t="shared" si="30"/>
        <v/>
      </c>
      <c r="BA23" s="388">
        <f t="shared" si="31"/>
        <v>0</v>
      </c>
      <c r="BB23" s="388">
        <f t="shared" si="0"/>
        <v>12500</v>
      </c>
      <c r="BC23" s="388">
        <f t="shared" si="1"/>
        <v>0</v>
      </c>
      <c r="BD23" s="388">
        <f t="shared" si="2"/>
        <v>3650.8576000000003</v>
      </c>
      <c r="BE23" s="388">
        <f t="shared" si="3"/>
        <v>853.82960000000014</v>
      </c>
      <c r="BF23" s="388">
        <f t="shared" si="4"/>
        <v>7030.8451200000009</v>
      </c>
      <c r="BG23" s="388">
        <f t="shared" si="5"/>
        <v>424.55940800000002</v>
      </c>
      <c r="BH23" s="388">
        <f t="shared" si="6"/>
        <v>0</v>
      </c>
      <c r="BI23" s="388">
        <f t="shared" si="7"/>
        <v>325.927368</v>
      </c>
      <c r="BJ23" s="388">
        <f t="shared" si="8"/>
        <v>447.52448000000004</v>
      </c>
      <c r="BK23" s="388">
        <f t="shared" si="9"/>
        <v>0</v>
      </c>
      <c r="BL23" s="388">
        <f t="shared" si="32"/>
        <v>12733.543576000002</v>
      </c>
      <c r="BM23" s="388">
        <f t="shared" si="33"/>
        <v>0</v>
      </c>
      <c r="BN23" s="388">
        <f t="shared" si="10"/>
        <v>13750</v>
      </c>
      <c r="BO23" s="388">
        <f t="shared" si="11"/>
        <v>0</v>
      </c>
      <c r="BP23" s="388">
        <f t="shared" si="12"/>
        <v>3650.8576000000003</v>
      </c>
      <c r="BQ23" s="388">
        <f t="shared" si="13"/>
        <v>853.82960000000014</v>
      </c>
      <c r="BR23" s="388">
        <f t="shared" si="14"/>
        <v>6583.3206399999999</v>
      </c>
      <c r="BS23" s="388">
        <f t="shared" si="15"/>
        <v>424.55940800000002</v>
      </c>
      <c r="BT23" s="388">
        <f t="shared" si="16"/>
        <v>0</v>
      </c>
      <c r="BU23" s="388">
        <f t="shared" si="17"/>
        <v>325.927368</v>
      </c>
      <c r="BV23" s="388">
        <f t="shared" si="18"/>
        <v>359.19728000000003</v>
      </c>
      <c r="BW23" s="388">
        <f t="shared" si="19"/>
        <v>0</v>
      </c>
      <c r="BX23" s="388">
        <f t="shared" si="34"/>
        <v>12197.691896</v>
      </c>
      <c r="BY23" s="388">
        <f t="shared" si="35"/>
        <v>0</v>
      </c>
      <c r="BZ23" s="388">
        <f t="shared" si="36"/>
        <v>1250</v>
      </c>
      <c r="CA23" s="388">
        <f t="shared" si="37"/>
        <v>0</v>
      </c>
      <c r="CB23" s="388">
        <f t="shared" si="38"/>
        <v>0</v>
      </c>
      <c r="CC23" s="388">
        <f t="shared" si="20"/>
        <v>0</v>
      </c>
      <c r="CD23" s="388">
        <f t="shared" si="21"/>
        <v>-447.52448000000061</v>
      </c>
      <c r="CE23" s="388">
        <f t="shared" si="22"/>
        <v>0</v>
      </c>
      <c r="CF23" s="388">
        <f t="shared" si="23"/>
        <v>0</v>
      </c>
      <c r="CG23" s="388">
        <f t="shared" si="24"/>
        <v>0</v>
      </c>
      <c r="CH23" s="388">
        <f t="shared" si="25"/>
        <v>-88.327199999999976</v>
      </c>
      <c r="CI23" s="388">
        <f t="shared" si="26"/>
        <v>0</v>
      </c>
      <c r="CJ23" s="388">
        <f t="shared" si="39"/>
        <v>-535.85168000000056</v>
      </c>
      <c r="CK23" s="388" t="str">
        <f t="shared" si="40"/>
        <v/>
      </c>
      <c r="CL23" s="388" t="str">
        <f t="shared" si="41"/>
        <v/>
      </c>
      <c r="CM23" s="388" t="str">
        <f t="shared" si="42"/>
        <v/>
      </c>
      <c r="CN23" s="388" t="str">
        <f t="shared" si="43"/>
        <v>0001-00</v>
      </c>
    </row>
    <row r="24" spans="1:92" ht="15.75" thickBot="1">
      <c r="A24" s="377" t="s">
        <v>162</v>
      </c>
      <c r="B24" s="377" t="s">
        <v>163</v>
      </c>
      <c r="C24" s="377" t="s">
        <v>313</v>
      </c>
      <c r="D24" s="377" t="s">
        <v>314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169</v>
      </c>
      <c r="K24" s="377" t="s">
        <v>315</v>
      </c>
      <c r="L24" s="377" t="s">
        <v>167</v>
      </c>
      <c r="M24" s="377" t="s">
        <v>172</v>
      </c>
      <c r="N24" s="377" t="s">
        <v>214</v>
      </c>
      <c r="O24" s="380">
        <v>0</v>
      </c>
      <c r="P24" s="386">
        <v>1</v>
      </c>
      <c r="Q24" s="386">
        <v>0</v>
      </c>
      <c r="R24" s="381">
        <v>0</v>
      </c>
      <c r="S24" s="386">
        <v>0</v>
      </c>
      <c r="T24" s="381">
        <v>2900</v>
      </c>
      <c r="U24" s="381">
        <v>0</v>
      </c>
      <c r="V24" s="381">
        <v>502.72</v>
      </c>
      <c r="W24" s="381">
        <v>2900</v>
      </c>
      <c r="X24" s="381">
        <v>502.72</v>
      </c>
      <c r="Y24" s="381">
        <v>2900</v>
      </c>
      <c r="Z24" s="381">
        <v>502.72</v>
      </c>
      <c r="AA24" s="379"/>
      <c r="AB24" s="377" t="s">
        <v>45</v>
      </c>
      <c r="AC24" s="377" t="s">
        <v>45</v>
      </c>
      <c r="AD24" s="379"/>
      <c r="AE24" s="379"/>
      <c r="AF24" s="379"/>
      <c r="AG24" s="379"/>
      <c r="AH24" s="380">
        <v>0</v>
      </c>
      <c r="AI24" s="380">
        <v>0</v>
      </c>
      <c r="AJ24" s="379"/>
      <c r="AK24" s="379"/>
      <c r="AL24" s="377" t="s">
        <v>182</v>
      </c>
      <c r="AM24" s="379"/>
      <c r="AN24" s="379"/>
      <c r="AO24" s="380">
        <v>0</v>
      </c>
      <c r="AP24" s="386">
        <v>0</v>
      </c>
      <c r="AQ24" s="386">
        <v>0</v>
      </c>
      <c r="AR24" s="385"/>
      <c r="AS24" s="388">
        <f t="shared" si="27"/>
        <v>0</v>
      </c>
      <c r="AT24">
        <f t="shared" si="28"/>
        <v>0</v>
      </c>
      <c r="AU24" s="388" t="str">
        <f>IF(AT24=0,"",IF(AND(AT24=1,M24="F",SUMIF(C2:C112,C24,AS2:AS112)&lt;=1),SUMIF(C2:C112,C24,AS2:AS112),IF(AND(AT24=1,M24="F",SUMIF(C2:C112,C24,AS2:AS112)&gt;1),1,"")))</f>
        <v/>
      </c>
      <c r="AV24" s="388" t="str">
        <f>IF(AT24=0,"",IF(AND(AT24=3,M24="F",SUMIF(C2:C112,C24,AS2:AS112)&lt;=1),SUMIF(C2:C112,C24,AS2:AS112),IF(AND(AT24=3,M24="F",SUMIF(C2:C112,C24,AS2:AS112)&gt;1),1,"")))</f>
        <v/>
      </c>
      <c r="AW24" s="388">
        <f>SUMIF(C2:C112,C24,O2:O112)</f>
        <v>0</v>
      </c>
      <c r="AX24" s="388">
        <f>IF(AND(M24="F",AS24&lt;&gt;0),SUMIF(C2:C112,C24,W2:W112),0)</f>
        <v>0</v>
      </c>
      <c r="AY24" s="388" t="str">
        <f t="shared" si="29"/>
        <v/>
      </c>
      <c r="AZ24" s="388" t="str">
        <f t="shared" si="30"/>
        <v/>
      </c>
      <c r="BA24" s="388">
        <f t="shared" si="31"/>
        <v>0</v>
      </c>
      <c r="BB24" s="388">
        <f t="shared" si="0"/>
        <v>0</v>
      </c>
      <c r="BC24" s="388">
        <f t="shared" si="1"/>
        <v>0</v>
      </c>
      <c r="BD24" s="388">
        <f t="shared" si="2"/>
        <v>0</v>
      </c>
      <c r="BE24" s="388">
        <f t="shared" si="3"/>
        <v>0</v>
      </c>
      <c r="BF24" s="388">
        <f t="shared" si="4"/>
        <v>0</v>
      </c>
      <c r="BG24" s="388">
        <f t="shared" si="5"/>
        <v>0</v>
      </c>
      <c r="BH24" s="388">
        <f t="shared" si="6"/>
        <v>0</v>
      </c>
      <c r="BI24" s="388">
        <f t="shared" si="7"/>
        <v>0</v>
      </c>
      <c r="BJ24" s="388">
        <f t="shared" si="8"/>
        <v>0</v>
      </c>
      <c r="BK24" s="388">
        <f t="shared" si="9"/>
        <v>0</v>
      </c>
      <c r="BL24" s="388">
        <f t="shared" si="32"/>
        <v>0</v>
      </c>
      <c r="BM24" s="388">
        <f t="shared" si="33"/>
        <v>0</v>
      </c>
      <c r="BN24" s="388">
        <f t="shared" si="10"/>
        <v>0</v>
      </c>
      <c r="BO24" s="388">
        <f t="shared" si="11"/>
        <v>0</v>
      </c>
      <c r="BP24" s="388">
        <f t="shared" si="12"/>
        <v>0</v>
      </c>
      <c r="BQ24" s="388">
        <f t="shared" si="13"/>
        <v>0</v>
      </c>
      <c r="BR24" s="388">
        <f t="shared" si="14"/>
        <v>0</v>
      </c>
      <c r="BS24" s="388">
        <f t="shared" si="15"/>
        <v>0</v>
      </c>
      <c r="BT24" s="388">
        <f t="shared" si="16"/>
        <v>0</v>
      </c>
      <c r="BU24" s="388">
        <f t="shared" si="17"/>
        <v>0</v>
      </c>
      <c r="BV24" s="388">
        <f t="shared" si="18"/>
        <v>0</v>
      </c>
      <c r="BW24" s="388">
        <f t="shared" si="19"/>
        <v>0</v>
      </c>
      <c r="BX24" s="388">
        <f t="shared" si="34"/>
        <v>0</v>
      </c>
      <c r="BY24" s="388">
        <f t="shared" si="35"/>
        <v>0</v>
      </c>
      <c r="BZ24" s="388">
        <f t="shared" si="36"/>
        <v>0</v>
      </c>
      <c r="CA24" s="388">
        <f t="shared" si="37"/>
        <v>0</v>
      </c>
      <c r="CB24" s="388">
        <f t="shared" si="38"/>
        <v>0</v>
      </c>
      <c r="CC24" s="388">
        <f t="shared" si="20"/>
        <v>0</v>
      </c>
      <c r="CD24" s="388">
        <f t="shared" si="21"/>
        <v>0</v>
      </c>
      <c r="CE24" s="388">
        <f t="shared" si="22"/>
        <v>0</v>
      </c>
      <c r="CF24" s="388">
        <f t="shared" si="23"/>
        <v>0</v>
      </c>
      <c r="CG24" s="388">
        <f t="shared" si="24"/>
        <v>0</v>
      </c>
      <c r="CH24" s="388">
        <f t="shared" si="25"/>
        <v>0</v>
      </c>
      <c r="CI24" s="388">
        <f t="shared" si="26"/>
        <v>0</v>
      </c>
      <c r="CJ24" s="388">
        <f t="shared" si="39"/>
        <v>0</v>
      </c>
      <c r="CK24" s="388" t="str">
        <f t="shared" si="40"/>
        <v/>
      </c>
      <c r="CL24" s="388">
        <f t="shared" si="41"/>
        <v>2900</v>
      </c>
      <c r="CM24" s="388">
        <f t="shared" si="42"/>
        <v>502.72</v>
      </c>
      <c r="CN24" s="388" t="str">
        <f t="shared" si="43"/>
        <v>0001-00</v>
      </c>
    </row>
    <row r="25" spans="1:92" ht="15.75" thickBot="1">
      <c r="A25" s="377" t="s">
        <v>162</v>
      </c>
      <c r="B25" s="377" t="s">
        <v>163</v>
      </c>
      <c r="C25" s="377" t="s">
        <v>316</v>
      </c>
      <c r="D25" s="377" t="s">
        <v>317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169</v>
      </c>
      <c r="K25" s="377" t="s">
        <v>318</v>
      </c>
      <c r="L25" s="377" t="s">
        <v>217</v>
      </c>
      <c r="M25" s="377" t="s">
        <v>172</v>
      </c>
      <c r="N25" s="377" t="s">
        <v>173</v>
      </c>
      <c r="O25" s="380">
        <v>1</v>
      </c>
      <c r="P25" s="386">
        <v>1</v>
      </c>
      <c r="Q25" s="386">
        <v>1</v>
      </c>
      <c r="R25" s="381">
        <v>80</v>
      </c>
      <c r="S25" s="386">
        <v>1</v>
      </c>
      <c r="T25" s="381">
        <v>68905.37</v>
      </c>
      <c r="U25" s="381">
        <v>0</v>
      </c>
      <c r="V25" s="381">
        <v>26229.4</v>
      </c>
      <c r="W25" s="381">
        <v>68868.800000000003</v>
      </c>
      <c r="X25" s="381">
        <v>27392.85</v>
      </c>
      <c r="Y25" s="381">
        <v>68868.800000000003</v>
      </c>
      <c r="Z25" s="381">
        <v>28016.14</v>
      </c>
      <c r="AA25" s="377" t="s">
        <v>319</v>
      </c>
      <c r="AB25" s="377" t="s">
        <v>320</v>
      </c>
      <c r="AC25" s="377" t="s">
        <v>321</v>
      </c>
      <c r="AD25" s="377" t="s">
        <v>188</v>
      </c>
      <c r="AE25" s="377" t="s">
        <v>318</v>
      </c>
      <c r="AF25" s="377" t="s">
        <v>222</v>
      </c>
      <c r="AG25" s="377" t="s">
        <v>179</v>
      </c>
      <c r="AH25" s="382">
        <v>33.11</v>
      </c>
      <c r="AI25" s="382">
        <v>5858.4</v>
      </c>
      <c r="AJ25" s="377" t="s">
        <v>180</v>
      </c>
      <c r="AK25" s="377" t="s">
        <v>181</v>
      </c>
      <c r="AL25" s="377" t="s">
        <v>182</v>
      </c>
      <c r="AM25" s="377" t="s">
        <v>183</v>
      </c>
      <c r="AN25" s="377" t="s">
        <v>66</v>
      </c>
      <c r="AO25" s="380">
        <v>80</v>
      </c>
      <c r="AP25" s="386">
        <v>1</v>
      </c>
      <c r="AQ25" s="386">
        <v>1</v>
      </c>
      <c r="AR25" s="384" t="s">
        <v>184</v>
      </c>
      <c r="AS25" s="388">
        <f t="shared" si="27"/>
        <v>1</v>
      </c>
      <c r="AT25">
        <f t="shared" si="28"/>
        <v>1</v>
      </c>
      <c r="AU25" s="388">
        <f>IF(AT25=0,"",IF(AND(AT25=1,M25="F",SUMIF(C2:C112,C25,AS2:AS112)&lt;=1),SUMIF(C2:C112,C25,AS2:AS112),IF(AND(AT25=1,M25="F",SUMIF(C2:C112,C25,AS2:AS112)&gt;1),1,"")))</f>
        <v>1</v>
      </c>
      <c r="AV25" s="388" t="str">
        <f>IF(AT25=0,"",IF(AND(AT25=3,M25="F",SUMIF(C2:C112,C25,AS2:AS112)&lt;=1),SUMIF(C2:C112,C25,AS2:AS112),IF(AND(AT25=3,M25="F",SUMIF(C2:C112,C25,AS2:AS112)&gt;1),1,"")))</f>
        <v/>
      </c>
      <c r="AW25" s="388">
        <f>SUMIF(C2:C112,C25,O2:O112)</f>
        <v>1</v>
      </c>
      <c r="AX25" s="388">
        <f>IF(AND(M25="F",AS25&lt;&gt;0),SUMIF(C2:C112,C25,W2:W112),0)</f>
        <v>68868.800000000003</v>
      </c>
      <c r="AY25" s="388">
        <f t="shared" si="29"/>
        <v>68868.800000000003</v>
      </c>
      <c r="AZ25" s="388" t="str">
        <f t="shared" si="30"/>
        <v/>
      </c>
      <c r="BA25" s="388">
        <f t="shared" si="31"/>
        <v>0</v>
      </c>
      <c r="BB25" s="388">
        <f t="shared" si="0"/>
        <v>12500</v>
      </c>
      <c r="BC25" s="388">
        <f t="shared" si="1"/>
        <v>0</v>
      </c>
      <c r="BD25" s="388">
        <f t="shared" si="2"/>
        <v>4269.8656000000001</v>
      </c>
      <c r="BE25" s="388">
        <f t="shared" si="3"/>
        <v>998.59760000000006</v>
      </c>
      <c r="BF25" s="388">
        <f t="shared" si="4"/>
        <v>8222.9347200000011</v>
      </c>
      <c r="BG25" s="388">
        <f t="shared" si="5"/>
        <v>496.54404800000003</v>
      </c>
      <c r="BH25" s="388">
        <f t="shared" si="6"/>
        <v>0</v>
      </c>
      <c r="BI25" s="388">
        <f t="shared" si="7"/>
        <v>381.18880799999999</v>
      </c>
      <c r="BJ25" s="388">
        <f t="shared" si="8"/>
        <v>523.40287999999998</v>
      </c>
      <c r="BK25" s="388">
        <f t="shared" si="9"/>
        <v>0</v>
      </c>
      <c r="BL25" s="388">
        <f t="shared" si="32"/>
        <v>14892.533656000001</v>
      </c>
      <c r="BM25" s="388">
        <f t="shared" si="33"/>
        <v>0</v>
      </c>
      <c r="BN25" s="388">
        <f t="shared" si="10"/>
        <v>13750</v>
      </c>
      <c r="BO25" s="388">
        <f t="shared" si="11"/>
        <v>0</v>
      </c>
      <c r="BP25" s="388">
        <f t="shared" si="12"/>
        <v>4269.8656000000001</v>
      </c>
      <c r="BQ25" s="388">
        <f t="shared" si="13"/>
        <v>998.59760000000006</v>
      </c>
      <c r="BR25" s="388">
        <f t="shared" si="14"/>
        <v>7699.5318399999996</v>
      </c>
      <c r="BS25" s="388">
        <f t="shared" si="15"/>
        <v>496.54404800000003</v>
      </c>
      <c r="BT25" s="388">
        <f t="shared" si="16"/>
        <v>0</v>
      </c>
      <c r="BU25" s="388">
        <f t="shared" si="17"/>
        <v>381.18880799999999</v>
      </c>
      <c r="BV25" s="388">
        <f t="shared" si="18"/>
        <v>420.09968000000003</v>
      </c>
      <c r="BW25" s="388">
        <f t="shared" si="19"/>
        <v>0</v>
      </c>
      <c r="BX25" s="388">
        <f t="shared" si="34"/>
        <v>14265.827576</v>
      </c>
      <c r="BY25" s="388">
        <f t="shared" si="35"/>
        <v>0</v>
      </c>
      <c r="BZ25" s="388">
        <f t="shared" si="36"/>
        <v>1250</v>
      </c>
      <c r="CA25" s="388">
        <f t="shared" si="37"/>
        <v>0</v>
      </c>
      <c r="CB25" s="388">
        <f t="shared" si="38"/>
        <v>0</v>
      </c>
      <c r="CC25" s="388">
        <f t="shared" si="20"/>
        <v>0</v>
      </c>
      <c r="CD25" s="388">
        <f t="shared" si="21"/>
        <v>-523.40288000000066</v>
      </c>
      <c r="CE25" s="388">
        <f t="shared" si="22"/>
        <v>0</v>
      </c>
      <c r="CF25" s="388">
        <f t="shared" si="23"/>
        <v>0</v>
      </c>
      <c r="CG25" s="388">
        <f t="shared" si="24"/>
        <v>0</v>
      </c>
      <c r="CH25" s="388">
        <f t="shared" si="25"/>
        <v>-103.30319999999998</v>
      </c>
      <c r="CI25" s="388">
        <f t="shared" si="26"/>
        <v>0</v>
      </c>
      <c r="CJ25" s="388">
        <f t="shared" si="39"/>
        <v>-626.70608000000061</v>
      </c>
      <c r="CK25" s="388" t="str">
        <f t="shared" si="40"/>
        <v/>
      </c>
      <c r="CL25" s="388" t="str">
        <f t="shared" si="41"/>
        <v/>
      </c>
      <c r="CM25" s="388" t="str">
        <f t="shared" si="42"/>
        <v/>
      </c>
      <c r="CN25" s="388" t="str">
        <f t="shared" si="43"/>
        <v>0001-00</v>
      </c>
    </row>
    <row r="26" spans="1:92" ht="15.75" thickBot="1">
      <c r="A26" s="377" t="s">
        <v>162</v>
      </c>
      <c r="B26" s="377" t="s">
        <v>163</v>
      </c>
      <c r="C26" s="377" t="s">
        <v>322</v>
      </c>
      <c r="D26" s="377" t="s">
        <v>323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169</v>
      </c>
      <c r="K26" s="377" t="s">
        <v>324</v>
      </c>
      <c r="L26" s="377" t="s">
        <v>188</v>
      </c>
      <c r="M26" s="377" t="s">
        <v>172</v>
      </c>
      <c r="N26" s="377" t="s">
        <v>173</v>
      </c>
      <c r="O26" s="380">
        <v>1</v>
      </c>
      <c r="P26" s="386">
        <v>1</v>
      </c>
      <c r="Q26" s="386">
        <v>1</v>
      </c>
      <c r="R26" s="381">
        <v>80</v>
      </c>
      <c r="S26" s="386">
        <v>1</v>
      </c>
      <c r="T26" s="381">
        <v>61467.13</v>
      </c>
      <c r="U26" s="381">
        <v>0</v>
      </c>
      <c r="V26" s="381">
        <v>26749.84</v>
      </c>
      <c r="W26" s="381">
        <v>60985.599999999999</v>
      </c>
      <c r="X26" s="381">
        <v>25688.12</v>
      </c>
      <c r="Y26" s="381">
        <v>60985.599999999999</v>
      </c>
      <c r="Z26" s="381">
        <v>26383.15</v>
      </c>
      <c r="AA26" s="377" t="s">
        <v>325</v>
      </c>
      <c r="AB26" s="377" t="s">
        <v>273</v>
      </c>
      <c r="AC26" s="377" t="s">
        <v>326</v>
      </c>
      <c r="AD26" s="377" t="s">
        <v>188</v>
      </c>
      <c r="AE26" s="377" t="s">
        <v>324</v>
      </c>
      <c r="AF26" s="377" t="s">
        <v>198</v>
      </c>
      <c r="AG26" s="377" t="s">
        <v>179</v>
      </c>
      <c r="AH26" s="382">
        <v>29.32</v>
      </c>
      <c r="AI26" s="382">
        <v>26924.5</v>
      </c>
      <c r="AJ26" s="377" t="s">
        <v>180</v>
      </c>
      <c r="AK26" s="377" t="s">
        <v>181</v>
      </c>
      <c r="AL26" s="377" t="s">
        <v>182</v>
      </c>
      <c r="AM26" s="377" t="s">
        <v>183</v>
      </c>
      <c r="AN26" s="377" t="s">
        <v>66</v>
      </c>
      <c r="AO26" s="380">
        <v>80</v>
      </c>
      <c r="AP26" s="386">
        <v>1</v>
      </c>
      <c r="AQ26" s="386">
        <v>1</v>
      </c>
      <c r="AR26" s="384" t="s">
        <v>184</v>
      </c>
      <c r="AS26" s="388">
        <f t="shared" si="27"/>
        <v>1</v>
      </c>
      <c r="AT26">
        <f t="shared" si="28"/>
        <v>1</v>
      </c>
      <c r="AU26" s="388">
        <f>IF(AT26=0,"",IF(AND(AT26=1,M26="F",SUMIF(C2:C112,C26,AS2:AS112)&lt;=1),SUMIF(C2:C112,C26,AS2:AS112),IF(AND(AT26=1,M26="F",SUMIF(C2:C112,C26,AS2:AS112)&gt;1),1,"")))</f>
        <v>1</v>
      </c>
      <c r="AV26" s="388" t="str">
        <f>IF(AT26=0,"",IF(AND(AT26=3,M26="F",SUMIF(C2:C112,C26,AS2:AS112)&lt;=1),SUMIF(C2:C112,C26,AS2:AS112),IF(AND(AT26=3,M26="F",SUMIF(C2:C112,C26,AS2:AS112)&gt;1),1,"")))</f>
        <v/>
      </c>
      <c r="AW26" s="388">
        <f>SUMIF(C2:C112,C26,O2:O112)</f>
        <v>2</v>
      </c>
      <c r="AX26" s="388">
        <f>IF(AND(M26="F",AS26&lt;&gt;0),SUMIF(C2:C112,C26,W2:W112),0)</f>
        <v>60985.599999999999</v>
      </c>
      <c r="AY26" s="388">
        <f t="shared" si="29"/>
        <v>60985.599999999999</v>
      </c>
      <c r="AZ26" s="388" t="str">
        <f t="shared" si="30"/>
        <v/>
      </c>
      <c r="BA26" s="388">
        <f t="shared" si="31"/>
        <v>0</v>
      </c>
      <c r="BB26" s="388">
        <f t="shared" si="0"/>
        <v>12500</v>
      </c>
      <c r="BC26" s="388">
        <f t="shared" si="1"/>
        <v>0</v>
      </c>
      <c r="BD26" s="388">
        <f t="shared" si="2"/>
        <v>3781.1071999999999</v>
      </c>
      <c r="BE26" s="388">
        <f t="shared" si="3"/>
        <v>884.2912</v>
      </c>
      <c r="BF26" s="388">
        <f t="shared" si="4"/>
        <v>7281.6806400000005</v>
      </c>
      <c r="BG26" s="388">
        <f t="shared" si="5"/>
        <v>439.70617600000003</v>
      </c>
      <c r="BH26" s="388">
        <f t="shared" si="6"/>
        <v>0</v>
      </c>
      <c r="BI26" s="388">
        <f t="shared" si="7"/>
        <v>337.555296</v>
      </c>
      <c r="BJ26" s="388">
        <f t="shared" si="8"/>
        <v>463.49056000000002</v>
      </c>
      <c r="BK26" s="388">
        <f t="shared" si="9"/>
        <v>0</v>
      </c>
      <c r="BL26" s="388">
        <f t="shared" si="32"/>
        <v>13187.831072000001</v>
      </c>
      <c r="BM26" s="388">
        <f t="shared" si="33"/>
        <v>0</v>
      </c>
      <c r="BN26" s="388">
        <f t="shared" si="10"/>
        <v>13750</v>
      </c>
      <c r="BO26" s="388">
        <f t="shared" si="11"/>
        <v>0</v>
      </c>
      <c r="BP26" s="388">
        <f t="shared" si="12"/>
        <v>3781.1071999999999</v>
      </c>
      <c r="BQ26" s="388">
        <f t="shared" si="13"/>
        <v>884.2912</v>
      </c>
      <c r="BR26" s="388">
        <f t="shared" si="14"/>
        <v>6818.1900799999994</v>
      </c>
      <c r="BS26" s="388">
        <f t="shared" si="15"/>
        <v>439.70617600000003</v>
      </c>
      <c r="BT26" s="388">
        <f t="shared" si="16"/>
        <v>0</v>
      </c>
      <c r="BU26" s="388">
        <f t="shared" si="17"/>
        <v>337.555296</v>
      </c>
      <c r="BV26" s="388">
        <f t="shared" si="18"/>
        <v>372.01215999999999</v>
      </c>
      <c r="BW26" s="388">
        <f t="shared" si="19"/>
        <v>0</v>
      </c>
      <c r="BX26" s="388">
        <f t="shared" si="34"/>
        <v>12632.862111999999</v>
      </c>
      <c r="BY26" s="388">
        <f t="shared" si="35"/>
        <v>0</v>
      </c>
      <c r="BZ26" s="388">
        <f t="shared" si="36"/>
        <v>1250</v>
      </c>
      <c r="CA26" s="388">
        <f t="shared" si="37"/>
        <v>0</v>
      </c>
      <c r="CB26" s="388">
        <f t="shared" si="38"/>
        <v>0</v>
      </c>
      <c r="CC26" s="388">
        <f t="shared" si="20"/>
        <v>0</v>
      </c>
      <c r="CD26" s="388">
        <f t="shared" si="21"/>
        <v>-463.49056000000058</v>
      </c>
      <c r="CE26" s="388">
        <f t="shared" si="22"/>
        <v>0</v>
      </c>
      <c r="CF26" s="388">
        <f t="shared" si="23"/>
        <v>0</v>
      </c>
      <c r="CG26" s="388">
        <f t="shared" si="24"/>
        <v>0</v>
      </c>
      <c r="CH26" s="388">
        <f t="shared" si="25"/>
        <v>-91.478399999999979</v>
      </c>
      <c r="CI26" s="388">
        <f t="shared" si="26"/>
        <v>0</v>
      </c>
      <c r="CJ26" s="388">
        <f t="shared" si="39"/>
        <v>-554.96896000000061</v>
      </c>
      <c r="CK26" s="388" t="str">
        <f t="shared" si="40"/>
        <v/>
      </c>
      <c r="CL26" s="388" t="str">
        <f t="shared" si="41"/>
        <v/>
      </c>
      <c r="CM26" s="388" t="str">
        <f t="shared" si="42"/>
        <v/>
      </c>
      <c r="CN26" s="388" t="str">
        <f t="shared" si="43"/>
        <v>0001-00</v>
      </c>
    </row>
    <row r="27" spans="1:92" ht="15.75" thickBot="1">
      <c r="A27" s="377" t="s">
        <v>162</v>
      </c>
      <c r="B27" s="377" t="s">
        <v>163</v>
      </c>
      <c r="C27" s="377" t="s">
        <v>327</v>
      </c>
      <c r="D27" s="377" t="s">
        <v>314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315</v>
      </c>
      <c r="L27" s="377" t="s">
        <v>167</v>
      </c>
      <c r="M27" s="377" t="s">
        <v>189</v>
      </c>
      <c r="N27" s="377" t="s">
        <v>214</v>
      </c>
      <c r="O27" s="380">
        <v>0</v>
      </c>
      <c r="P27" s="386">
        <v>1</v>
      </c>
      <c r="Q27" s="386">
        <v>0</v>
      </c>
      <c r="R27" s="381">
        <v>0</v>
      </c>
      <c r="S27" s="386">
        <v>0</v>
      </c>
      <c r="T27" s="381">
        <v>4950.7700000000004</v>
      </c>
      <c r="U27" s="381">
        <v>0</v>
      </c>
      <c r="V27" s="381">
        <v>443.8</v>
      </c>
      <c r="W27" s="381">
        <v>4950.7700000000004</v>
      </c>
      <c r="X27" s="381">
        <v>443.8</v>
      </c>
      <c r="Y27" s="381">
        <v>4950.7700000000004</v>
      </c>
      <c r="Z27" s="381">
        <v>443.8</v>
      </c>
      <c r="AA27" s="379"/>
      <c r="AB27" s="377" t="s">
        <v>45</v>
      </c>
      <c r="AC27" s="377" t="s">
        <v>45</v>
      </c>
      <c r="AD27" s="379"/>
      <c r="AE27" s="379"/>
      <c r="AF27" s="379"/>
      <c r="AG27" s="379"/>
      <c r="AH27" s="380">
        <v>0</v>
      </c>
      <c r="AI27" s="380">
        <v>0</v>
      </c>
      <c r="AJ27" s="379"/>
      <c r="AK27" s="379"/>
      <c r="AL27" s="377" t="s">
        <v>182</v>
      </c>
      <c r="AM27" s="379"/>
      <c r="AN27" s="379"/>
      <c r="AO27" s="380">
        <v>0</v>
      </c>
      <c r="AP27" s="386">
        <v>0</v>
      </c>
      <c r="AQ27" s="386">
        <v>0</v>
      </c>
      <c r="AR27" s="385"/>
      <c r="AS27" s="388">
        <f t="shared" si="27"/>
        <v>0</v>
      </c>
      <c r="AT27">
        <f t="shared" si="28"/>
        <v>0</v>
      </c>
      <c r="AU27" s="388" t="str">
        <f>IF(AT27=0,"",IF(AND(AT27=1,M27="F",SUMIF(C2:C112,C27,AS2:AS112)&lt;=1),SUMIF(C2:C112,C27,AS2:AS112),IF(AND(AT27=1,M27="F",SUMIF(C2:C112,C27,AS2:AS112)&gt;1),1,"")))</f>
        <v/>
      </c>
      <c r="AV27" s="388" t="str">
        <f>IF(AT27=0,"",IF(AND(AT27=3,M27="F",SUMIF(C2:C112,C27,AS2:AS112)&lt;=1),SUMIF(C2:C112,C27,AS2:AS112),IF(AND(AT27=3,M27="F",SUMIF(C2:C112,C27,AS2:AS112)&gt;1),1,"")))</f>
        <v/>
      </c>
      <c r="AW27" s="388">
        <f>SUMIF(C2:C112,C27,O2:O112)</f>
        <v>0</v>
      </c>
      <c r="AX27" s="388">
        <f>IF(AND(M27="F",AS27&lt;&gt;0),SUMIF(C2:C112,C27,W2:W112),0)</f>
        <v>0</v>
      </c>
      <c r="AY27" s="388" t="str">
        <f t="shared" si="29"/>
        <v/>
      </c>
      <c r="AZ27" s="388" t="str">
        <f t="shared" si="30"/>
        <v/>
      </c>
      <c r="BA27" s="388">
        <f t="shared" si="31"/>
        <v>0</v>
      </c>
      <c r="BB27" s="388">
        <f t="shared" si="0"/>
        <v>0</v>
      </c>
      <c r="BC27" s="388">
        <f t="shared" si="1"/>
        <v>0</v>
      </c>
      <c r="BD27" s="388">
        <f t="shared" si="2"/>
        <v>0</v>
      </c>
      <c r="BE27" s="388">
        <f t="shared" si="3"/>
        <v>0</v>
      </c>
      <c r="BF27" s="388">
        <f t="shared" si="4"/>
        <v>0</v>
      </c>
      <c r="BG27" s="388">
        <f t="shared" si="5"/>
        <v>0</v>
      </c>
      <c r="BH27" s="388">
        <f t="shared" si="6"/>
        <v>0</v>
      </c>
      <c r="BI27" s="388">
        <f t="shared" si="7"/>
        <v>0</v>
      </c>
      <c r="BJ27" s="388">
        <f t="shared" si="8"/>
        <v>0</v>
      </c>
      <c r="BK27" s="388">
        <f t="shared" si="9"/>
        <v>0</v>
      </c>
      <c r="BL27" s="388">
        <f t="shared" si="32"/>
        <v>0</v>
      </c>
      <c r="BM27" s="388">
        <f t="shared" si="33"/>
        <v>0</v>
      </c>
      <c r="BN27" s="388">
        <f t="shared" si="10"/>
        <v>0</v>
      </c>
      <c r="BO27" s="388">
        <f t="shared" si="11"/>
        <v>0</v>
      </c>
      <c r="BP27" s="388">
        <f t="shared" si="12"/>
        <v>0</v>
      </c>
      <c r="BQ27" s="388">
        <f t="shared" si="13"/>
        <v>0</v>
      </c>
      <c r="BR27" s="388">
        <f t="shared" si="14"/>
        <v>0</v>
      </c>
      <c r="BS27" s="388">
        <f t="shared" si="15"/>
        <v>0</v>
      </c>
      <c r="BT27" s="388">
        <f t="shared" si="16"/>
        <v>0</v>
      </c>
      <c r="BU27" s="388">
        <f t="shared" si="17"/>
        <v>0</v>
      </c>
      <c r="BV27" s="388">
        <f t="shared" si="18"/>
        <v>0</v>
      </c>
      <c r="BW27" s="388">
        <f t="shared" si="19"/>
        <v>0</v>
      </c>
      <c r="BX27" s="388">
        <f t="shared" si="34"/>
        <v>0</v>
      </c>
      <c r="BY27" s="388">
        <f t="shared" si="35"/>
        <v>0</v>
      </c>
      <c r="BZ27" s="388">
        <f t="shared" si="36"/>
        <v>0</v>
      </c>
      <c r="CA27" s="388">
        <f t="shared" si="37"/>
        <v>0</v>
      </c>
      <c r="CB27" s="388">
        <f t="shared" si="38"/>
        <v>0</v>
      </c>
      <c r="CC27" s="388">
        <f t="shared" si="20"/>
        <v>0</v>
      </c>
      <c r="CD27" s="388">
        <f t="shared" si="21"/>
        <v>0</v>
      </c>
      <c r="CE27" s="388">
        <f t="shared" si="22"/>
        <v>0</v>
      </c>
      <c r="CF27" s="388">
        <f t="shared" si="23"/>
        <v>0</v>
      </c>
      <c r="CG27" s="388">
        <f t="shared" si="24"/>
        <v>0</v>
      </c>
      <c r="CH27" s="388">
        <f t="shared" si="25"/>
        <v>0</v>
      </c>
      <c r="CI27" s="388">
        <f t="shared" si="26"/>
        <v>0</v>
      </c>
      <c r="CJ27" s="388">
        <f t="shared" si="39"/>
        <v>0</v>
      </c>
      <c r="CK27" s="388" t="str">
        <f t="shared" si="40"/>
        <v/>
      </c>
      <c r="CL27" s="388">
        <f t="shared" si="41"/>
        <v>4950.7700000000004</v>
      </c>
      <c r="CM27" s="388">
        <f t="shared" si="42"/>
        <v>443.8</v>
      </c>
      <c r="CN27" s="388" t="str">
        <f t="shared" si="43"/>
        <v>0001-00</v>
      </c>
    </row>
    <row r="28" spans="1:92" ht="15.75" thickBot="1">
      <c r="A28" s="377" t="s">
        <v>162</v>
      </c>
      <c r="B28" s="377" t="s">
        <v>163</v>
      </c>
      <c r="C28" s="377" t="s">
        <v>328</v>
      </c>
      <c r="D28" s="377" t="s">
        <v>329</v>
      </c>
      <c r="E28" s="377" t="s">
        <v>166</v>
      </c>
      <c r="F28" s="378" t="s">
        <v>167</v>
      </c>
      <c r="G28" s="377" t="s">
        <v>168</v>
      </c>
      <c r="H28" s="379"/>
      <c r="I28" s="379"/>
      <c r="J28" s="377" t="s">
        <v>169</v>
      </c>
      <c r="K28" s="377" t="s">
        <v>330</v>
      </c>
      <c r="L28" s="377" t="s">
        <v>182</v>
      </c>
      <c r="M28" s="377" t="s">
        <v>172</v>
      </c>
      <c r="N28" s="377" t="s">
        <v>173</v>
      </c>
      <c r="O28" s="380">
        <v>1</v>
      </c>
      <c r="P28" s="386">
        <v>1</v>
      </c>
      <c r="Q28" s="386">
        <v>1</v>
      </c>
      <c r="R28" s="381">
        <v>80</v>
      </c>
      <c r="S28" s="386">
        <v>1</v>
      </c>
      <c r="T28" s="381">
        <v>69708.800000000003</v>
      </c>
      <c r="U28" s="381">
        <v>0</v>
      </c>
      <c r="V28" s="381">
        <v>26537.97</v>
      </c>
      <c r="W28" s="381">
        <v>75275.199999999997</v>
      </c>
      <c r="X28" s="381">
        <v>28778.240000000002</v>
      </c>
      <c r="Y28" s="381">
        <v>75275.199999999997</v>
      </c>
      <c r="Z28" s="381">
        <v>29343.23</v>
      </c>
      <c r="AA28" s="377" t="s">
        <v>331</v>
      </c>
      <c r="AB28" s="377" t="s">
        <v>332</v>
      </c>
      <c r="AC28" s="377" t="s">
        <v>333</v>
      </c>
      <c r="AD28" s="377" t="s">
        <v>221</v>
      </c>
      <c r="AE28" s="377" t="s">
        <v>330</v>
      </c>
      <c r="AF28" s="377" t="s">
        <v>334</v>
      </c>
      <c r="AG28" s="377" t="s">
        <v>179</v>
      </c>
      <c r="AH28" s="382">
        <v>36.19</v>
      </c>
      <c r="AI28" s="382">
        <v>5167.5</v>
      </c>
      <c r="AJ28" s="377" t="s">
        <v>180</v>
      </c>
      <c r="AK28" s="377" t="s">
        <v>181</v>
      </c>
      <c r="AL28" s="377" t="s">
        <v>182</v>
      </c>
      <c r="AM28" s="377" t="s">
        <v>183</v>
      </c>
      <c r="AN28" s="377" t="s">
        <v>66</v>
      </c>
      <c r="AO28" s="380">
        <v>80</v>
      </c>
      <c r="AP28" s="386">
        <v>1</v>
      </c>
      <c r="AQ28" s="386">
        <v>1</v>
      </c>
      <c r="AR28" s="384" t="s">
        <v>184</v>
      </c>
      <c r="AS28" s="388">
        <f t="shared" si="27"/>
        <v>1</v>
      </c>
      <c r="AT28">
        <f t="shared" si="28"/>
        <v>1</v>
      </c>
      <c r="AU28" s="388">
        <f>IF(AT28=0,"",IF(AND(AT28=1,M28="F",SUMIF(C2:C112,C28,AS2:AS112)&lt;=1),SUMIF(C2:C112,C28,AS2:AS112),IF(AND(AT28=1,M28="F",SUMIF(C2:C112,C28,AS2:AS112)&gt;1),1,"")))</f>
        <v>1</v>
      </c>
      <c r="AV28" s="388" t="str">
        <f>IF(AT28=0,"",IF(AND(AT28=3,M28="F",SUMIF(C2:C112,C28,AS2:AS112)&lt;=1),SUMIF(C2:C112,C28,AS2:AS112),IF(AND(AT28=3,M28="F",SUMIF(C2:C112,C28,AS2:AS112)&gt;1),1,"")))</f>
        <v/>
      </c>
      <c r="AW28" s="388">
        <f>SUMIF(C2:C112,C28,O2:O112)</f>
        <v>1</v>
      </c>
      <c r="AX28" s="388">
        <f>IF(AND(M28="F",AS28&lt;&gt;0),SUMIF(C2:C112,C28,W2:W112),0)</f>
        <v>75275.199999999997</v>
      </c>
      <c r="AY28" s="388">
        <f t="shared" si="29"/>
        <v>75275.199999999997</v>
      </c>
      <c r="AZ28" s="388" t="str">
        <f t="shared" si="30"/>
        <v/>
      </c>
      <c r="BA28" s="388">
        <f t="shared" si="31"/>
        <v>0</v>
      </c>
      <c r="BB28" s="388">
        <f t="shared" si="0"/>
        <v>12500</v>
      </c>
      <c r="BC28" s="388">
        <f t="shared" si="1"/>
        <v>0</v>
      </c>
      <c r="BD28" s="388">
        <f t="shared" si="2"/>
        <v>4667.0623999999998</v>
      </c>
      <c r="BE28" s="388">
        <f t="shared" si="3"/>
        <v>1091.4903999999999</v>
      </c>
      <c r="BF28" s="388">
        <f t="shared" si="4"/>
        <v>8987.8588799999998</v>
      </c>
      <c r="BG28" s="388">
        <f t="shared" si="5"/>
        <v>542.73419200000001</v>
      </c>
      <c r="BH28" s="388">
        <f t="shared" si="6"/>
        <v>0</v>
      </c>
      <c r="BI28" s="388">
        <f t="shared" si="7"/>
        <v>416.64823200000001</v>
      </c>
      <c r="BJ28" s="388">
        <f t="shared" si="8"/>
        <v>572.09151999999995</v>
      </c>
      <c r="BK28" s="388">
        <f t="shared" si="9"/>
        <v>0</v>
      </c>
      <c r="BL28" s="388">
        <f t="shared" si="32"/>
        <v>16277.885623999999</v>
      </c>
      <c r="BM28" s="388">
        <f t="shared" si="33"/>
        <v>0</v>
      </c>
      <c r="BN28" s="388">
        <f t="shared" si="10"/>
        <v>13750</v>
      </c>
      <c r="BO28" s="388">
        <f t="shared" si="11"/>
        <v>0</v>
      </c>
      <c r="BP28" s="388">
        <f t="shared" si="12"/>
        <v>4667.0623999999998</v>
      </c>
      <c r="BQ28" s="388">
        <f t="shared" si="13"/>
        <v>1091.4903999999999</v>
      </c>
      <c r="BR28" s="388">
        <f t="shared" si="14"/>
        <v>8415.7673599999998</v>
      </c>
      <c r="BS28" s="388">
        <f t="shared" si="15"/>
        <v>542.73419200000001</v>
      </c>
      <c r="BT28" s="388">
        <f t="shared" si="16"/>
        <v>0</v>
      </c>
      <c r="BU28" s="388">
        <f t="shared" si="17"/>
        <v>416.64823200000001</v>
      </c>
      <c r="BV28" s="388">
        <f t="shared" si="18"/>
        <v>459.17872</v>
      </c>
      <c r="BW28" s="388">
        <f t="shared" si="19"/>
        <v>0</v>
      </c>
      <c r="BX28" s="388">
        <f t="shared" si="34"/>
        <v>15592.881303999999</v>
      </c>
      <c r="BY28" s="388">
        <f t="shared" si="35"/>
        <v>0</v>
      </c>
      <c r="BZ28" s="388">
        <f t="shared" si="36"/>
        <v>1250</v>
      </c>
      <c r="CA28" s="388">
        <f t="shared" si="37"/>
        <v>0</v>
      </c>
      <c r="CB28" s="388">
        <f t="shared" si="38"/>
        <v>0</v>
      </c>
      <c r="CC28" s="388">
        <f t="shared" si="20"/>
        <v>0</v>
      </c>
      <c r="CD28" s="388">
        <f t="shared" si="21"/>
        <v>-572.09152000000074</v>
      </c>
      <c r="CE28" s="388">
        <f t="shared" si="22"/>
        <v>0</v>
      </c>
      <c r="CF28" s="388">
        <f t="shared" si="23"/>
        <v>0</v>
      </c>
      <c r="CG28" s="388">
        <f t="shared" si="24"/>
        <v>0</v>
      </c>
      <c r="CH28" s="388">
        <f t="shared" si="25"/>
        <v>-112.91279999999996</v>
      </c>
      <c r="CI28" s="388">
        <f t="shared" si="26"/>
        <v>0</v>
      </c>
      <c r="CJ28" s="388">
        <f t="shared" si="39"/>
        <v>-685.00432000000069</v>
      </c>
      <c r="CK28" s="388" t="str">
        <f t="shared" si="40"/>
        <v/>
      </c>
      <c r="CL28" s="388" t="str">
        <f t="shared" si="41"/>
        <v/>
      </c>
      <c r="CM28" s="388" t="str">
        <f t="shared" si="42"/>
        <v/>
      </c>
      <c r="CN28" s="388" t="str">
        <f t="shared" si="43"/>
        <v>0001-00</v>
      </c>
    </row>
    <row r="29" spans="1:92" ht="15.75" thickBot="1">
      <c r="A29" s="377" t="s">
        <v>162</v>
      </c>
      <c r="B29" s="377" t="s">
        <v>163</v>
      </c>
      <c r="C29" s="377" t="s">
        <v>335</v>
      </c>
      <c r="D29" s="377" t="s">
        <v>233</v>
      </c>
      <c r="E29" s="377" t="s">
        <v>166</v>
      </c>
      <c r="F29" s="378" t="s">
        <v>167</v>
      </c>
      <c r="G29" s="377" t="s">
        <v>168</v>
      </c>
      <c r="H29" s="379"/>
      <c r="I29" s="379"/>
      <c r="J29" s="377" t="s">
        <v>169</v>
      </c>
      <c r="K29" s="377" t="s">
        <v>234</v>
      </c>
      <c r="L29" s="377" t="s">
        <v>177</v>
      </c>
      <c r="M29" s="377" t="s">
        <v>172</v>
      </c>
      <c r="N29" s="377" t="s">
        <v>173</v>
      </c>
      <c r="O29" s="380">
        <v>1</v>
      </c>
      <c r="P29" s="386">
        <v>1</v>
      </c>
      <c r="Q29" s="386">
        <v>1</v>
      </c>
      <c r="R29" s="381">
        <v>80</v>
      </c>
      <c r="S29" s="386">
        <v>1</v>
      </c>
      <c r="T29" s="381">
        <v>45454.82</v>
      </c>
      <c r="U29" s="381">
        <v>0</v>
      </c>
      <c r="V29" s="381">
        <v>22806.67</v>
      </c>
      <c r="W29" s="381">
        <v>54121.599999999999</v>
      </c>
      <c r="X29" s="381">
        <v>24203.759999999998</v>
      </c>
      <c r="Y29" s="381">
        <v>54121.599999999999</v>
      </c>
      <c r="Z29" s="381">
        <v>24961.26</v>
      </c>
      <c r="AA29" s="377" t="s">
        <v>336</v>
      </c>
      <c r="AB29" s="377" t="s">
        <v>337</v>
      </c>
      <c r="AC29" s="377" t="s">
        <v>338</v>
      </c>
      <c r="AD29" s="377" t="s">
        <v>197</v>
      </c>
      <c r="AE29" s="377" t="s">
        <v>234</v>
      </c>
      <c r="AF29" s="377" t="s">
        <v>237</v>
      </c>
      <c r="AG29" s="377" t="s">
        <v>179</v>
      </c>
      <c r="AH29" s="382">
        <v>26.02</v>
      </c>
      <c r="AI29" s="382">
        <v>2158.6</v>
      </c>
      <c r="AJ29" s="377" t="s">
        <v>180</v>
      </c>
      <c r="AK29" s="377" t="s">
        <v>181</v>
      </c>
      <c r="AL29" s="377" t="s">
        <v>182</v>
      </c>
      <c r="AM29" s="377" t="s">
        <v>183</v>
      </c>
      <c r="AN29" s="377" t="s">
        <v>66</v>
      </c>
      <c r="AO29" s="380">
        <v>80</v>
      </c>
      <c r="AP29" s="386">
        <v>1</v>
      </c>
      <c r="AQ29" s="386">
        <v>1</v>
      </c>
      <c r="AR29" s="384" t="s">
        <v>184</v>
      </c>
      <c r="AS29" s="388">
        <f t="shared" si="27"/>
        <v>1</v>
      </c>
      <c r="AT29">
        <f t="shared" si="28"/>
        <v>1</v>
      </c>
      <c r="AU29" s="388">
        <f>IF(AT29=0,"",IF(AND(AT29=1,M29="F",SUMIF(C2:C112,C29,AS2:AS112)&lt;=1),SUMIF(C2:C112,C29,AS2:AS112),IF(AND(AT29=1,M29="F",SUMIF(C2:C112,C29,AS2:AS112)&gt;1),1,"")))</f>
        <v>1</v>
      </c>
      <c r="AV29" s="388" t="str">
        <f>IF(AT29=0,"",IF(AND(AT29=3,M29="F",SUMIF(C2:C112,C29,AS2:AS112)&lt;=1),SUMIF(C2:C112,C29,AS2:AS112),IF(AND(AT29=3,M29="F",SUMIF(C2:C112,C29,AS2:AS112)&gt;1),1,"")))</f>
        <v/>
      </c>
      <c r="AW29" s="388">
        <f>SUMIF(C2:C112,C29,O2:O112)</f>
        <v>1</v>
      </c>
      <c r="AX29" s="388">
        <f>IF(AND(M29="F",AS29&lt;&gt;0),SUMIF(C2:C112,C29,W2:W112),0)</f>
        <v>54121.599999999999</v>
      </c>
      <c r="AY29" s="388">
        <f t="shared" si="29"/>
        <v>54121.599999999999</v>
      </c>
      <c r="AZ29" s="388" t="str">
        <f t="shared" si="30"/>
        <v/>
      </c>
      <c r="BA29" s="388">
        <f t="shared" si="31"/>
        <v>0</v>
      </c>
      <c r="BB29" s="388">
        <f t="shared" si="0"/>
        <v>12500</v>
      </c>
      <c r="BC29" s="388">
        <f t="shared" si="1"/>
        <v>0</v>
      </c>
      <c r="BD29" s="388">
        <f t="shared" si="2"/>
        <v>3355.5391999999997</v>
      </c>
      <c r="BE29" s="388">
        <f t="shared" si="3"/>
        <v>784.76319999999998</v>
      </c>
      <c r="BF29" s="388">
        <f t="shared" si="4"/>
        <v>6462.1190400000005</v>
      </c>
      <c r="BG29" s="388">
        <f t="shared" si="5"/>
        <v>390.21673600000003</v>
      </c>
      <c r="BH29" s="388">
        <f t="shared" si="6"/>
        <v>0</v>
      </c>
      <c r="BI29" s="388">
        <f t="shared" si="7"/>
        <v>299.56305600000002</v>
      </c>
      <c r="BJ29" s="388">
        <f t="shared" si="8"/>
        <v>411.32416000000001</v>
      </c>
      <c r="BK29" s="388">
        <f t="shared" si="9"/>
        <v>0</v>
      </c>
      <c r="BL29" s="388">
        <f t="shared" si="32"/>
        <v>11703.525392000001</v>
      </c>
      <c r="BM29" s="388">
        <f t="shared" si="33"/>
        <v>0</v>
      </c>
      <c r="BN29" s="388">
        <f t="shared" si="10"/>
        <v>13750</v>
      </c>
      <c r="BO29" s="388">
        <f t="shared" si="11"/>
        <v>0</v>
      </c>
      <c r="BP29" s="388">
        <f t="shared" si="12"/>
        <v>3355.5391999999997</v>
      </c>
      <c r="BQ29" s="388">
        <f t="shared" si="13"/>
        <v>784.76319999999998</v>
      </c>
      <c r="BR29" s="388">
        <f t="shared" si="14"/>
        <v>6050.7948799999995</v>
      </c>
      <c r="BS29" s="388">
        <f t="shared" si="15"/>
        <v>390.21673600000003</v>
      </c>
      <c r="BT29" s="388">
        <f t="shared" si="16"/>
        <v>0</v>
      </c>
      <c r="BU29" s="388">
        <f t="shared" si="17"/>
        <v>299.56305600000002</v>
      </c>
      <c r="BV29" s="388">
        <f t="shared" si="18"/>
        <v>330.14176000000003</v>
      </c>
      <c r="BW29" s="388">
        <f t="shared" si="19"/>
        <v>0</v>
      </c>
      <c r="BX29" s="388">
        <f t="shared" si="34"/>
        <v>11211.018832</v>
      </c>
      <c r="BY29" s="388">
        <f t="shared" si="35"/>
        <v>0</v>
      </c>
      <c r="BZ29" s="388">
        <f t="shared" si="36"/>
        <v>1250</v>
      </c>
      <c r="CA29" s="388">
        <f t="shared" si="37"/>
        <v>0</v>
      </c>
      <c r="CB29" s="388">
        <f t="shared" si="38"/>
        <v>0</v>
      </c>
      <c r="CC29" s="388">
        <f t="shared" si="20"/>
        <v>0</v>
      </c>
      <c r="CD29" s="388">
        <f t="shared" si="21"/>
        <v>-411.32416000000052</v>
      </c>
      <c r="CE29" s="388">
        <f t="shared" si="22"/>
        <v>0</v>
      </c>
      <c r="CF29" s="388">
        <f t="shared" si="23"/>
        <v>0</v>
      </c>
      <c r="CG29" s="388">
        <f t="shared" si="24"/>
        <v>0</v>
      </c>
      <c r="CH29" s="388">
        <f t="shared" si="25"/>
        <v>-81.182399999999973</v>
      </c>
      <c r="CI29" s="388">
        <f t="shared" si="26"/>
        <v>0</v>
      </c>
      <c r="CJ29" s="388">
        <f t="shared" si="39"/>
        <v>-492.50656000000049</v>
      </c>
      <c r="CK29" s="388" t="str">
        <f t="shared" si="40"/>
        <v/>
      </c>
      <c r="CL29" s="388" t="str">
        <f t="shared" si="41"/>
        <v/>
      </c>
      <c r="CM29" s="388" t="str">
        <f t="shared" si="42"/>
        <v/>
      </c>
      <c r="CN29" s="388" t="str">
        <f t="shared" si="43"/>
        <v>0001-00</v>
      </c>
    </row>
    <row r="30" spans="1:92" ht="15.75" thickBot="1">
      <c r="A30" s="377" t="s">
        <v>162</v>
      </c>
      <c r="B30" s="377" t="s">
        <v>163</v>
      </c>
      <c r="C30" s="377" t="s">
        <v>339</v>
      </c>
      <c r="D30" s="377" t="s">
        <v>165</v>
      </c>
      <c r="E30" s="377" t="s">
        <v>166</v>
      </c>
      <c r="F30" s="378" t="s">
        <v>167</v>
      </c>
      <c r="G30" s="377" t="s">
        <v>168</v>
      </c>
      <c r="H30" s="379"/>
      <c r="I30" s="379"/>
      <c r="J30" s="377" t="s">
        <v>169</v>
      </c>
      <c r="K30" s="377" t="s">
        <v>170</v>
      </c>
      <c r="L30" s="377" t="s">
        <v>171</v>
      </c>
      <c r="M30" s="377" t="s">
        <v>172</v>
      </c>
      <c r="N30" s="377" t="s">
        <v>214</v>
      </c>
      <c r="O30" s="380">
        <v>0</v>
      </c>
      <c r="P30" s="386">
        <v>1</v>
      </c>
      <c r="Q30" s="386">
        <v>0</v>
      </c>
      <c r="R30" s="381">
        <v>0</v>
      </c>
      <c r="S30" s="386">
        <v>0</v>
      </c>
      <c r="T30" s="381">
        <v>17193.919999999998</v>
      </c>
      <c r="U30" s="381">
        <v>62.73</v>
      </c>
      <c r="V30" s="381">
        <v>1483.27</v>
      </c>
      <c r="W30" s="381">
        <v>26438.78</v>
      </c>
      <c r="X30" s="381">
        <v>2273.75</v>
      </c>
      <c r="Y30" s="381">
        <v>26438.78</v>
      </c>
      <c r="Z30" s="381">
        <v>2273.75</v>
      </c>
      <c r="AA30" s="379"/>
      <c r="AB30" s="377" t="s">
        <v>45</v>
      </c>
      <c r="AC30" s="377" t="s">
        <v>45</v>
      </c>
      <c r="AD30" s="379"/>
      <c r="AE30" s="379"/>
      <c r="AF30" s="379"/>
      <c r="AG30" s="379"/>
      <c r="AH30" s="380">
        <v>0</v>
      </c>
      <c r="AI30" s="380">
        <v>0</v>
      </c>
      <c r="AJ30" s="379"/>
      <c r="AK30" s="379"/>
      <c r="AL30" s="377" t="s">
        <v>182</v>
      </c>
      <c r="AM30" s="379"/>
      <c r="AN30" s="379"/>
      <c r="AO30" s="380">
        <v>0</v>
      </c>
      <c r="AP30" s="386">
        <v>0</v>
      </c>
      <c r="AQ30" s="386">
        <v>0</v>
      </c>
      <c r="AR30" s="385"/>
      <c r="AS30" s="388">
        <f t="shared" si="27"/>
        <v>0</v>
      </c>
      <c r="AT30">
        <f t="shared" si="28"/>
        <v>0</v>
      </c>
      <c r="AU30" s="388" t="str">
        <f>IF(AT30=0,"",IF(AND(AT30=1,M30="F",SUMIF(C2:C112,C30,AS2:AS112)&lt;=1),SUMIF(C2:C112,C30,AS2:AS112),IF(AND(AT30=1,M30="F",SUMIF(C2:C112,C30,AS2:AS112)&gt;1),1,"")))</f>
        <v/>
      </c>
      <c r="AV30" s="388" t="str">
        <f>IF(AT30=0,"",IF(AND(AT30=3,M30="F",SUMIF(C2:C112,C30,AS2:AS112)&lt;=1),SUMIF(C2:C112,C30,AS2:AS112),IF(AND(AT30=3,M30="F",SUMIF(C2:C112,C30,AS2:AS112)&gt;1),1,"")))</f>
        <v/>
      </c>
      <c r="AW30" s="388">
        <f>SUMIF(C2:C112,C30,O2:O112)</f>
        <v>0</v>
      </c>
      <c r="AX30" s="388">
        <f>IF(AND(M30="F",AS30&lt;&gt;0),SUMIF(C2:C112,C30,W2:W112),0)</f>
        <v>0</v>
      </c>
      <c r="AY30" s="388" t="str">
        <f t="shared" si="29"/>
        <v/>
      </c>
      <c r="AZ30" s="388" t="str">
        <f t="shared" si="30"/>
        <v/>
      </c>
      <c r="BA30" s="388">
        <f t="shared" si="31"/>
        <v>0</v>
      </c>
      <c r="BB30" s="388">
        <f t="shared" si="0"/>
        <v>0</v>
      </c>
      <c r="BC30" s="388">
        <f t="shared" si="1"/>
        <v>0</v>
      </c>
      <c r="BD30" s="388">
        <f t="shared" si="2"/>
        <v>0</v>
      </c>
      <c r="BE30" s="388">
        <f t="shared" si="3"/>
        <v>0</v>
      </c>
      <c r="BF30" s="388">
        <f t="shared" si="4"/>
        <v>0</v>
      </c>
      <c r="BG30" s="388">
        <f t="shared" si="5"/>
        <v>0</v>
      </c>
      <c r="BH30" s="388">
        <f t="shared" si="6"/>
        <v>0</v>
      </c>
      <c r="BI30" s="388">
        <f t="shared" si="7"/>
        <v>0</v>
      </c>
      <c r="BJ30" s="388">
        <f t="shared" si="8"/>
        <v>0</v>
      </c>
      <c r="BK30" s="388">
        <f t="shared" si="9"/>
        <v>0</v>
      </c>
      <c r="BL30" s="388">
        <f t="shared" si="32"/>
        <v>0</v>
      </c>
      <c r="BM30" s="388">
        <f t="shared" si="33"/>
        <v>0</v>
      </c>
      <c r="BN30" s="388">
        <f t="shared" si="10"/>
        <v>0</v>
      </c>
      <c r="BO30" s="388">
        <f t="shared" si="11"/>
        <v>0</v>
      </c>
      <c r="BP30" s="388">
        <f t="shared" si="12"/>
        <v>0</v>
      </c>
      <c r="BQ30" s="388">
        <f t="shared" si="13"/>
        <v>0</v>
      </c>
      <c r="BR30" s="388">
        <f t="shared" si="14"/>
        <v>0</v>
      </c>
      <c r="BS30" s="388">
        <f t="shared" si="15"/>
        <v>0</v>
      </c>
      <c r="BT30" s="388">
        <f t="shared" si="16"/>
        <v>0</v>
      </c>
      <c r="BU30" s="388">
        <f t="shared" si="17"/>
        <v>0</v>
      </c>
      <c r="BV30" s="388">
        <f t="shared" si="18"/>
        <v>0</v>
      </c>
      <c r="BW30" s="388">
        <f t="shared" si="19"/>
        <v>0</v>
      </c>
      <c r="BX30" s="388">
        <f t="shared" si="34"/>
        <v>0</v>
      </c>
      <c r="BY30" s="388">
        <f t="shared" si="35"/>
        <v>0</v>
      </c>
      <c r="BZ30" s="388">
        <f t="shared" si="36"/>
        <v>0</v>
      </c>
      <c r="CA30" s="388">
        <f t="shared" si="37"/>
        <v>0</v>
      </c>
      <c r="CB30" s="388">
        <f t="shared" si="38"/>
        <v>0</v>
      </c>
      <c r="CC30" s="388">
        <f t="shared" si="20"/>
        <v>0</v>
      </c>
      <c r="CD30" s="388">
        <f t="shared" si="21"/>
        <v>0</v>
      </c>
      <c r="CE30" s="388">
        <f t="shared" si="22"/>
        <v>0</v>
      </c>
      <c r="CF30" s="388">
        <f t="shared" si="23"/>
        <v>0</v>
      </c>
      <c r="CG30" s="388">
        <f t="shared" si="24"/>
        <v>0</v>
      </c>
      <c r="CH30" s="388">
        <f t="shared" si="25"/>
        <v>0</v>
      </c>
      <c r="CI30" s="388">
        <f t="shared" si="26"/>
        <v>0</v>
      </c>
      <c r="CJ30" s="388">
        <f t="shared" si="39"/>
        <v>0</v>
      </c>
      <c r="CK30" s="388" t="str">
        <f t="shared" si="40"/>
        <v/>
      </c>
      <c r="CL30" s="388">
        <f t="shared" si="41"/>
        <v>17256.649999999998</v>
      </c>
      <c r="CM30" s="388">
        <f t="shared" si="42"/>
        <v>1483.27</v>
      </c>
      <c r="CN30" s="388" t="str">
        <f t="shared" si="43"/>
        <v>0001-00</v>
      </c>
    </row>
    <row r="31" spans="1:92" ht="15.75" thickBot="1">
      <c r="A31" s="377" t="s">
        <v>162</v>
      </c>
      <c r="B31" s="377" t="s">
        <v>163</v>
      </c>
      <c r="C31" s="377" t="s">
        <v>340</v>
      </c>
      <c r="D31" s="377" t="s">
        <v>314</v>
      </c>
      <c r="E31" s="377" t="s">
        <v>166</v>
      </c>
      <c r="F31" s="378" t="s">
        <v>167</v>
      </c>
      <c r="G31" s="377" t="s">
        <v>168</v>
      </c>
      <c r="H31" s="379"/>
      <c r="I31" s="379"/>
      <c r="J31" s="377" t="s">
        <v>169</v>
      </c>
      <c r="K31" s="377" t="s">
        <v>315</v>
      </c>
      <c r="L31" s="377" t="s">
        <v>167</v>
      </c>
      <c r="M31" s="377" t="s">
        <v>189</v>
      </c>
      <c r="N31" s="377" t="s">
        <v>214</v>
      </c>
      <c r="O31" s="380">
        <v>0</v>
      </c>
      <c r="P31" s="386">
        <v>0</v>
      </c>
      <c r="Q31" s="386">
        <v>0</v>
      </c>
      <c r="R31" s="381">
        <v>0</v>
      </c>
      <c r="S31" s="386">
        <v>0</v>
      </c>
      <c r="T31" s="381">
        <v>0</v>
      </c>
      <c r="U31" s="381">
        <v>0</v>
      </c>
      <c r="V31" s="381">
        <v>1.52</v>
      </c>
      <c r="W31" s="381">
        <v>0</v>
      </c>
      <c r="X31" s="381">
        <v>0</v>
      </c>
      <c r="Y31" s="381">
        <v>0</v>
      </c>
      <c r="Z31" s="381">
        <v>0</v>
      </c>
      <c r="AA31" s="379"/>
      <c r="AB31" s="377" t="s">
        <v>45</v>
      </c>
      <c r="AC31" s="377" t="s">
        <v>45</v>
      </c>
      <c r="AD31" s="379"/>
      <c r="AE31" s="379"/>
      <c r="AF31" s="379"/>
      <c r="AG31" s="379"/>
      <c r="AH31" s="380">
        <v>0</v>
      </c>
      <c r="AI31" s="380">
        <v>0</v>
      </c>
      <c r="AJ31" s="379"/>
      <c r="AK31" s="379"/>
      <c r="AL31" s="377" t="s">
        <v>182</v>
      </c>
      <c r="AM31" s="379"/>
      <c r="AN31" s="379"/>
      <c r="AO31" s="380">
        <v>0</v>
      </c>
      <c r="AP31" s="386">
        <v>0</v>
      </c>
      <c r="AQ31" s="386">
        <v>0</v>
      </c>
      <c r="AR31" s="385"/>
      <c r="AS31" s="388">
        <f t="shared" si="27"/>
        <v>0</v>
      </c>
      <c r="AT31">
        <f t="shared" si="28"/>
        <v>0</v>
      </c>
      <c r="AU31" s="388" t="str">
        <f>IF(AT31=0,"",IF(AND(AT31=1,M31="F",SUMIF(C2:C112,C31,AS2:AS112)&lt;=1),SUMIF(C2:C112,C31,AS2:AS112),IF(AND(AT31=1,M31="F",SUMIF(C2:C112,C31,AS2:AS112)&gt;1),1,"")))</f>
        <v/>
      </c>
      <c r="AV31" s="388" t="str">
        <f>IF(AT31=0,"",IF(AND(AT31=3,M31="F",SUMIF(C2:C112,C31,AS2:AS112)&lt;=1),SUMIF(C2:C112,C31,AS2:AS112),IF(AND(AT31=3,M31="F",SUMIF(C2:C112,C31,AS2:AS112)&gt;1),1,"")))</f>
        <v/>
      </c>
      <c r="AW31" s="388">
        <f>SUMIF(C2:C112,C31,O2:O112)</f>
        <v>0</v>
      </c>
      <c r="AX31" s="388">
        <f>IF(AND(M31="F",AS31&lt;&gt;0),SUMIF(C2:C112,C31,W2:W112),0)</f>
        <v>0</v>
      </c>
      <c r="AY31" s="388" t="str">
        <f t="shared" si="29"/>
        <v/>
      </c>
      <c r="AZ31" s="388" t="str">
        <f t="shared" si="30"/>
        <v/>
      </c>
      <c r="BA31" s="388">
        <f t="shared" si="31"/>
        <v>0</v>
      </c>
      <c r="BB31" s="388">
        <f t="shared" si="0"/>
        <v>0</v>
      </c>
      <c r="BC31" s="388">
        <f t="shared" si="1"/>
        <v>0</v>
      </c>
      <c r="BD31" s="388">
        <f t="shared" si="2"/>
        <v>0</v>
      </c>
      <c r="BE31" s="388">
        <f t="shared" si="3"/>
        <v>0</v>
      </c>
      <c r="BF31" s="388">
        <f t="shared" si="4"/>
        <v>0</v>
      </c>
      <c r="BG31" s="388">
        <f t="shared" si="5"/>
        <v>0</v>
      </c>
      <c r="BH31" s="388">
        <f t="shared" si="6"/>
        <v>0</v>
      </c>
      <c r="BI31" s="388">
        <f t="shared" si="7"/>
        <v>0</v>
      </c>
      <c r="BJ31" s="388">
        <f t="shared" si="8"/>
        <v>0</v>
      </c>
      <c r="BK31" s="388">
        <f t="shared" si="9"/>
        <v>0</v>
      </c>
      <c r="BL31" s="388">
        <f t="shared" si="32"/>
        <v>0</v>
      </c>
      <c r="BM31" s="388">
        <f t="shared" si="33"/>
        <v>0</v>
      </c>
      <c r="BN31" s="388">
        <f t="shared" si="10"/>
        <v>0</v>
      </c>
      <c r="BO31" s="388">
        <f t="shared" si="11"/>
        <v>0</v>
      </c>
      <c r="BP31" s="388">
        <f t="shared" si="12"/>
        <v>0</v>
      </c>
      <c r="BQ31" s="388">
        <f t="shared" si="13"/>
        <v>0</v>
      </c>
      <c r="BR31" s="388">
        <f t="shared" si="14"/>
        <v>0</v>
      </c>
      <c r="BS31" s="388">
        <f t="shared" si="15"/>
        <v>0</v>
      </c>
      <c r="BT31" s="388">
        <f t="shared" si="16"/>
        <v>0</v>
      </c>
      <c r="BU31" s="388">
        <f t="shared" si="17"/>
        <v>0</v>
      </c>
      <c r="BV31" s="388">
        <f t="shared" si="18"/>
        <v>0</v>
      </c>
      <c r="BW31" s="388">
        <f t="shared" si="19"/>
        <v>0</v>
      </c>
      <c r="BX31" s="388">
        <f t="shared" si="34"/>
        <v>0</v>
      </c>
      <c r="BY31" s="388">
        <f t="shared" si="35"/>
        <v>0</v>
      </c>
      <c r="BZ31" s="388">
        <f t="shared" si="36"/>
        <v>0</v>
      </c>
      <c r="CA31" s="388">
        <f t="shared" si="37"/>
        <v>0</v>
      </c>
      <c r="CB31" s="388">
        <f t="shared" si="38"/>
        <v>0</v>
      </c>
      <c r="CC31" s="388">
        <f t="shared" si="20"/>
        <v>0</v>
      </c>
      <c r="CD31" s="388">
        <f t="shared" si="21"/>
        <v>0</v>
      </c>
      <c r="CE31" s="388">
        <f t="shared" si="22"/>
        <v>0</v>
      </c>
      <c r="CF31" s="388">
        <f t="shared" si="23"/>
        <v>0</v>
      </c>
      <c r="CG31" s="388">
        <f t="shared" si="24"/>
        <v>0</v>
      </c>
      <c r="CH31" s="388">
        <f t="shared" si="25"/>
        <v>0</v>
      </c>
      <c r="CI31" s="388">
        <f t="shared" si="26"/>
        <v>0</v>
      </c>
      <c r="CJ31" s="388">
        <f t="shared" si="39"/>
        <v>0</v>
      </c>
      <c r="CK31" s="388" t="str">
        <f t="shared" si="40"/>
        <v/>
      </c>
      <c r="CL31" s="388">
        <f t="shared" si="41"/>
        <v>0</v>
      </c>
      <c r="CM31" s="388">
        <f t="shared" si="42"/>
        <v>1.52</v>
      </c>
      <c r="CN31" s="388" t="str">
        <f t="shared" si="43"/>
        <v>0001-00</v>
      </c>
    </row>
    <row r="32" spans="1:92" ht="15.75" thickBot="1">
      <c r="A32" s="377" t="s">
        <v>162</v>
      </c>
      <c r="B32" s="377" t="s">
        <v>163</v>
      </c>
      <c r="C32" s="377" t="s">
        <v>341</v>
      </c>
      <c r="D32" s="377" t="s">
        <v>342</v>
      </c>
      <c r="E32" s="377" t="s">
        <v>166</v>
      </c>
      <c r="F32" s="378" t="s">
        <v>167</v>
      </c>
      <c r="G32" s="377" t="s">
        <v>168</v>
      </c>
      <c r="H32" s="379"/>
      <c r="I32" s="379"/>
      <c r="J32" s="377" t="s">
        <v>169</v>
      </c>
      <c r="K32" s="377" t="s">
        <v>343</v>
      </c>
      <c r="L32" s="377" t="s">
        <v>188</v>
      </c>
      <c r="M32" s="377" t="s">
        <v>172</v>
      </c>
      <c r="N32" s="377" t="s">
        <v>173</v>
      </c>
      <c r="O32" s="380">
        <v>1</v>
      </c>
      <c r="P32" s="386">
        <v>1</v>
      </c>
      <c r="Q32" s="386">
        <v>1</v>
      </c>
      <c r="R32" s="381">
        <v>80</v>
      </c>
      <c r="S32" s="386">
        <v>1</v>
      </c>
      <c r="T32" s="381">
        <v>56176.02</v>
      </c>
      <c r="U32" s="381">
        <v>0</v>
      </c>
      <c r="V32" s="381">
        <v>23452.27</v>
      </c>
      <c r="W32" s="381">
        <v>61297.599999999999</v>
      </c>
      <c r="X32" s="381">
        <v>25755.58</v>
      </c>
      <c r="Y32" s="381">
        <v>61297.599999999999</v>
      </c>
      <c r="Z32" s="381">
        <v>26447.77</v>
      </c>
      <c r="AA32" s="377" t="s">
        <v>344</v>
      </c>
      <c r="AB32" s="377" t="s">
        <v>345</v>
      </c>
      <c r="AC32" s="377" t="s">
        <v>346</v>
      </c>
      <c r="AD32" s="377" t="s">
        <v>197</v>
      </c>
      <c r="AE32" s="377" t="s">
        <v>343</v>
      </c>
      <c r="AF32" s="377" t="s">
        <v>198</v>
      </c>
      <c r="AG32" s="377" t="s">
        <v>179</v>
      </c>
      <c r="AH32" s="382">
        <v>29.47</v>
      </c>
      <c r="AI32" s="382">
        <v>6651.2</v>
      </c>
      <c r="AJ32" s="377" t="s">
        <v>180</v>
      </c>
      <c r="AK32" s="377" t="s">
        <v>181</v>
      </c>
      <c r="AL32" s="377" t="s">
        <v>182</v>
      </c>
      <c r="AM32" s="377" t="s">
        <v>183</v>
      </c>
      <c r="AN32" s="377" t="s">
        <v>66</v>
      </c>
      <c r="AO32" s="380">
        <v>80</v>
      </c>
      <c r="AP32" s="386">
        <v>1</v>
      </c>
      <c r="AQ32" s="386">
        <v>1</v>
      </c>
      <c r="AR32" s="384" t="s">
        <v>184</v>
      </c>
      <c r="AS32" s="388">
        <f t="shared" si="27"/>
        <v>1</v>
      </c>
      <c r="AT32">
        <f t="shared" si="28"/>
        <v>1</v>
      </c>
      <c r="AU32" s="388">
        <f>IF(AT32=0,"",IF(AND(AT32=1,M32="F",SUMIF(C2:C112,C32,AS2:AS112)&lt;=1),SUMIF(C2:C112,C32,AS2:AS112),IF(AND(AT32=1,M32="F",SUMIF(C2:C112,C32,AS2:AS112)&gt;1),1,"")))</f>
        <v>1</v>
      </c>
      <c r="AV32" s="388" t="str">
        <f>IF(AT32=0,"",IF(AND(AT32=3,M32="F",SUMIF(C2:C112,C32,AS2:AS112)&lt;=1),SUMIF(C2:C112,C32,AS2:AS112),IF(AND(AT32=3,M32="F",SUMIF(C2:C112,C32,AS2:AS112)&gt;1),1,"")))</f>
        <v/>
      </c>
      <c r="AW32" s="388">
        <f>SUMIF(C2:C112,C32,O2:O112)</f>
        <v>1</v>
      </c>
      <c r="AX32" s="388">
        <f>IF(AND(M32="F",AS32&lt;&gt;0),SUMIF(C2:C112,C32,W2:W112),0)</f>
        <v>61297.599999999999</v>
      </c>
      <c r="AY32" s="388">
        <f t="shared" si="29"/>
        <v>61297.599999999999</v>
      </c>
      <c r="AZ32" s="388" t="str">
        <f t="shared" si="30"/>
        <v/>
      </c>
      <c r="BA32" s="388">
        <f t="shared" si="31"/>
        <v>0</v>
      </c>
      <c r="BB32" s="388">
        <f t="shared" si="0"/>
        <v>12500</v>
      </c>
      <c r="BC32" s="388">
        <f t="shared" si="1"/>
        <v>0</v>
      </c>
      <c r="BD32" s="388">
        <f t="shared" si="2"/>
        <v>3800.4512</v>
      </c>
      <c r="BE32" s="388">
        <f t="shared" si="3"/>
        <v>888.8152</v>
      </c>
      <c r="BF32" s="388">
        <f t="shared" si="4"/>
        <v>7318.9334399999998</v>
      </c>
      <c r="BG32" s="388">
        <f t="shared" si="5"/>
        <v>441.95569599999999</v>
      </c>
      <c r="BH32" s="388">
        <f t="shared" si="6"/>
        <v>0</v>
      </c>
      <c r="BI32" s="388">
        <f t="shared" si="7"/>
        <v>339.28221600000001</v>
      </c>
      <c r="BJ32" s="388">
        <f t="shared" si="8"/>
        <v>465.86176</v>
      </c>
      <c r="BK32" s="388">
        <f t="shared" si="9"/>
        <v>0</v>
      </c>
      <c r="BL32" s="388">
        <f t="shared" si="32"/>
        <v>13255.299512000001</v>
      </c>
      <c r="BM32" s="388">
        <f t="shared" si="33"/>
        <v>0</v>
      </c>
      <c r="BN32" s="388">
        <f t="shared" si="10"/>
        <v>13750</v>
      </c>
      <c r="BO32" s="388">
        <f t="shared" si="11"/>
        <v>0</v>
      </c>
      <c r="BP32" s="388">
        <f t="shared" si="12"/>
        <v>3800.4512</v>
      </c>
      <c r="BQ32" s="388">
        <f t="shared" si="13"/>
        <v>888.8152</v>
      </c>
      <c r="BR32" s="388">
        <f t="shared" si="14"/>
        <v>6853.07168</v>
      </c>
      <c r="BS32" s="388">
        <f t="shared" si="15"/>
        <v>441.95569599999999</v>
      </c>
      <c r="BT32" s="388">
        <f t="shared" si="16"/>
        <v>0</v>
      </c>
      <c r="BU32" s="388">
        <f t="shared" si="17"/>
        <v>339.28221600000001</v>
      </c>
      <c r="BV32" s="388">
        <f t="shared" si="18"/>
        <v>373.91536000000002</v>
      </c>
      <c r="BW32" s="388">
        <f t="shared" si="19"/>
        <v>0</v>
      </c>
      <c r="BX32" s="388">
        <f t="shared" si="34"/>
        <v>12697.491352000003</v>
      </c>
      <c r="BY32" s="388">
        <f t="shared" si="35"/>
        <v>0</v>
      </c>
      <c r="BZ32" s="388">
        <f t="shared" si="36"/>
        <v>1250</v>
      </c>
      <c r="CA32" s="388">
        <f t="shared" si="37"/>
        <v>0</v>
      </c>
      <c r="CB32" s="388">
        <f t="shared" si="38"/>
        <v>0</v>
      </c>
      <c r="CC32" s="388">
        <f t="shared" si="20"/>
        <v>0</v>
      </c>
      <c r="CD32" s="388">
        <f t="shared" si="21"/>
        <v>-465.86176000000057</v>
      </c>
      <c r="CE32" s="388">
        <f t="shared" si="22"/>
        <v>0</v>
      </c>
      <c r="CF32" s="388">
        <f t="shared" si="23"/>
        <v>0</v>
      </c>
      <c r="CG32" s="388">
        <f t="shared" si="24"/>
        <v>0</v>
      </c>
      <c r="CH32" s="388">
        <f t="shared" si="25"/>
        <v>-91.946399999999969</v>
      </c>
      <c r="CI32" s="388">
        <f t="shared" si="26"/>
        <v>0</v>
      </c>
      <c r="CJ32" s="388">
        <f t="shared" si="39"/>
        <v>-557.8081600000005</v>
      </c>
      <c r="CK32" s="388" t="str">
        <f t="shared" si="40"/>
        <v/>
      </c>
      <c r="CL32" s="388" t="str">
        <f t="shared" si="41"/>
        <v/>
      </c>
      <c r="CM32" s="388" t="str">
        <f t="shared" si="42"/>
        <v/>
      </c>
      <c r="CN32" s="388" t="str">
        <f t="shared" si="43"/>
        <v>0001-00</v>
      </c>
    </row>
    <row r="33" spans="1:92" ht="15.75" thickBot="1">
      <c r="A33" s="377" t="s">
        <v>162</v>
      </c>
      <c r="B33" s="377" t="s">
        <v>163</v>
      </c>
      <c r="C33" s="377" t="s">
        <v>347</v>
      </c>
      <c r="D33" s="377" t="s">
        <v>348</v>
      </c>
      <c r="E33" s="377" t="s">
        <v>166</v>
      </c>
      <c r="F33" s="378" t="s">
        <v>167</v>
      </c>
      <c r="G33" s="377" t="s">
        <v>168</v>
      </c>
      <c r="H33" s="379"/>
      <c r="I33" s="379"/>
      <c r="J33" s="377" t="s">
        <v>169</v>
      </c>
      <c r="K33" s="377" t="s">
        <v>349</v>
      </c>
      <c r="L33" s="377" t="s">
        <v>188</v>
      </c>
      <c r="M33" s="377" t="s">
        <v>172</v>
      </c>
      <c r="N33" s="377" t="s">
        <v>226</v>
      </c>
      <c r="O33" s="380">
        <v>1</v>
      </c>
      <c r="P33" s="386">
        <v>1</v>
      </c>
      <c r="Q33" s="386">
        <v>1</v>
      </c>
      <c r="R33" s="381">
        <v>80</v>
      </c>
      <c r="S33" s="386">
        <v>1</v>
      </c>
      <c r="T33" s="381">
        <v>64342.19</v>
      </c>
      <c r="U33" s="381">
        <v>0</v>
      </c>
      <c r="V33" s="381">
        <v>25109.21</v>
      </c>
      <c r="W33" s="381">
        <v>65249.599999999999</v>
      </c>
      <c r="X33" s="381">
        <v>26248.71</v>
      </c>
      <c r="Y33" s="381">
        <v>65249.599999999999</v>
      </c>
      <c r="Z33" s="381">
        <v>26904.94</v>
      </c>
      <c r="AA33" s="377" t="s">
        <v>350</v>
      </c>
      <c r="AB33" s="377" t="s">
        <v>351</v>
      </c>
      <c r="AC33" s="377" t="s">
        <v>352</v>
      </c>
      <c r="AD33" s="377" t="s">
        <v>353</v>
      </c>
      <c r="AE33" s="377" t="s">
        <v>354</v>
      </c>
      <c r="AF33" s="377" t="s">
        <v>198</v>
      </c>
      <c r="AG33" s="377" t="s">
        <v>179</v>
      </c>
      <c r="AH33" s="382">
        <v>31.37</v>
      </c>
      <c r="AI33" s="380">
        <v>9118</v>
      </c>
      <c r="AJ33" s="377" t="s">
        <v>180</v>
      </c>
      <c r="AK33" s="377" t="s">
        <v>181</v>
      </c>
      <c r="AL33" s="377" t="s">
        <v>182</v>
      </c>
      <c r="AM33" s="377" t="s">
        <v>183</v>
      </c>
      <c r="AN33" s="377" t="s">
        <v>66</v>
      </c>
      <c r="AO33" s="380">
        <v>80</v>
      </c>
      <c r="AP33" s="386">
        <v>1</v>
      </c>
      <c r="AQ33" s="386">
        <v>1</v>
      </c>
      <c r="AR33" s="384" t="s">
        <v>184</v>
      </c>
      <c r="AS33" s="388">
        <f t="shared" si="27"/>
        <v>1</v>
      </c>
      <c r="AT33">
        <f t="shared" si="28"/>
        <v>1</v>
      </c>
      <c r="AU33" s="388">
        <f>IF(AT33=0,"",IF(AND(AT33=1,M33="F",SUMIF(C2:C112,C33,AS2:AS112)&lt;=1),SUMIF(C2:C112,C33,AS2:AS112),IF(AND(AT33=1,M33="F",SUMIF(C2:C112,C33,AS2:AS112)&gt;1),1,"")))</f>
        <v>1</v>
      </c>
      <c r="AV33" s="388" t="str">
        <f>IF(AT33=0,"",IF(AND(AT33=3,M33="F",SUMIF(C2:C112,C33,AS2:AS112)&lt;=1),SUMIF(C2:C112,C33,AS2:AS112),IF(AND(AT33=3,M33="F",SUMIF(C2:C112,C33,AS2:AS112)&gt;1),1,"")))</f>
        <v/>
      </c>
      <c r="AW33" s="388">
        <f>SUMIF(C2:C112,C33,O2:O112)</f>
        <v>1</v>
      </c>
      <c r="AX33" s="388">
        <f>IF(AND(M33="F",AS33&lt;&gt;0),SUMIF(C2:C112,C33,W2:W112),0)</f>
        <v>65249.599999999999</v>
      </c>
      <c r="AY33" s="388">
        <f t="shared" si="29"/>
        <v>65249.599999999999</v>
      </c>
      <c r="AZ33" s="388" t="str">
        <f t="shared" si="30"/>
        <v/>
      </c>
      <c r="BA33" s="388">
        <f t="shared" si="31"/>
        <v>0</v>
      </c>
      <c r="BB33" s="388">
        <f t="shared" si="0"/>
        <v>12500</v>
      </c>
      <c r="BC33" s="388">
        <f t="shared" si="1"/>
        <v>0</v>
      </c>
      <c r="BD33" s="388">
        <f t="shared" si="2"/>
        <v>4045.4751999999999</v>
      </c>
      <c r="BE33" s="388">
        <f t="shared" si="3"/>
        <v>946.11919999999998</v>
      </c>
      <c r="BF33" s="388">
        <f t="shared" si="4"/>
        <v>7790.80224</v>
      </c>
      <c r="BG33" s="388">
        <f t="shared" si="5"/>
        <v>470.44961599999999</v>
      </c>
      <c r="BH33" s="388">
        <f t="shared" si="6"/>
        <v>0</v>
      </c>
      <c r="BI33" s="388">
        <f t="shared" si="7"/>
        <v>0</v>
      </c>
      <c r="BJ33" s="388">
        <f t="shared" si="8"/>
        <v>495.89695999999998</v>
      </c>
      <c r="BK33" s="388">
        <f t="shared" si="9"/>
        <v>0</v>
      </c>
      <c r="BL33" s="388">
        <f t="shared" si="32"/>
        <v>13748.743215999999</v>
      </c>
      <c r="BM33" s="388">
        <f t="shared" si="33"/>
        <v>0</v>
      </c>
      <c r="BN33" s="388">
        <f t="shared" si="10"/>
        <v>13750</v>
      </c>
      <c r="BO33" s="388">
        <f t="shared" si="11"/>
        <v>0</v>
      </c>
      <c r="BP33" s="388">
        <f t="shared" si="12"/>
        <v>4045.4751999999999</v>
      </c>
      <c r="BQ33" s="388">
        <f t="shared" si="13"/>
        <v>946.11919999999998</v>
      </c>
      <c r="BR33" s="388">
        <f t="shared" si="14"/>
        <v>7294.9052799999999</v>
      </c>
      <c r="BS33" s="388">
        <f t="shared" si="15"/>
        <v>470.44961599999999</v>
      </c>
      <c r="BT33" s="388">
        <f t="shared" si="16"/>
        <v>0</v>
      </c>
      <c r="BU33" s="388">
        <f t="shared" si="17"/>
        <v>0</v>
      </c>
      <c r="BV33" s="388">
        <f t="shared" si="18"/>
        <v>398.02256</v>
      </c>
      <c r="BW33" s="388">
        <f t="shared" si="19"/>
        <v>0</v>
      </c>
      <c r="BX33" s="388">
        <f t="shared" si="34"/>
        <v>13154.971856</v>
      </c>
      <c r="BY33" s="388">
        <f t="shared" si="35"/>
        <v>0</v>
      </c>
      <c r="BZ33" s="388">
        <f t="shared" si="36"/>
        <v>1250</v>
      </c>
      <c r="CA33" s="388">
        <f t="shared" si="37"/>
        <v>0</v>
      </c>
      <c r="CB33" s="388">
        <f t="shared" si="38"/>
        <v>0</v>
      </c>
      <c r="CC33" s="388">
        <f t="shared" si="20"/>
        <v>0</v>
      </c>
      <c r="CD33" s="388">
        <f t="shared" si="21"/>
        <v>-495.8969600000006</v>
      </c>
      <c r="CE33" s="388">
        <f t="shared" si="22"/>
        <v>0</v>
      </c>
      <c r="CF33" s="388">
        <f t="shared" si="23"/>
        <v>0</v>
      </c>
      <c r="CG33" s="388">
        <f t="shared" si="24"/>
        <v>0</v>
      </c>
      <c r="CH33" s="388">
        <f t="shared" si="25"/>
        <v>-97.874399999999966</v>
      </c>
      <c r="CI33" s="388">
        <f t="shared" si="26"/>
        <v>0</v>
      </c>
      <c r="CJ33" s="388">
        <f t="shared" si="39"/>
        <v>-593.77136000000053</v>
      </c>
      <c r="CK33" s="388" t="str">
        <f t="shared" si="40"/>
        <v/>
      </c>
      <c r="CL33" s="388" t="str">
        <f t="shared" si="41"/>
        <v/>
      </c>
      <c r="CM33" s="388" t="str">
        <f t="shared" si="42"/>
        <v/>
      </c>
      <c r="CN33" s="388" t="str">
        <f t="shared" si="43"/>
        <v>0001-00</v>
      </c>
    </row>
    <row r="34" spans="1:92" ht="15.75" thickBot="1">
      <c r="A34" s="377" t="s">
        <v>162</v>
      </c>
      <c r="B34" s="377" t="s">
        <v>163</v>
      </c>
      <c r="C34" s="377" t="s">
        <v>355</v>
      </c>
      <c r="D34" s="377" t="s">
        <v>356</v>
      </c>
      <c r="E34" s="377" t="s">
        <v>166</v>
      </c>
      <c r="F34" s="378" t="s">
        <v>167</v>
      </c>
      <c r="G34" s="377" t="s">
        <v>168</v>
      </c>
      <c r="H34" s="379"/>
      <c r="I34" s="379"/>
      <c r="J34" s="377" t="s">
        <v>192</v>
      </c>
      <c r="K34" s="377" t="s">
        <v>357</v>
      </c>
      <c r="L34" s="377" t="s">
        <v>177</v>
      </c>
      <c r="M34" s="377" t="s">
        <v>172</v>
      </c>
      <c r="N34" s="377" t="s">
        <v>173</v>
      </c>
      <c r="O34" s="380">
        <v>1</v>
      </c>
      <c r="P34" s="386">
        <v>0.3</v>
      </c>
      <c r="Q34" s="386">
        <v>0.3</v>
      </c>
      <c r="R34" s="381">
        <v>80</v>
      </c>
      <c r="S34" s="386">
        <v>0.3</v>
      </c>
      <c r="T34" s="381">
        <v>15787.72</v>
      </c>
      <c r="U34" s="381">
        <v>0</v>
      </c>
      <c r="V34" s="381">
        <v>6962.31</v>
      </c>
      <c r="W34" s="381">
        <v>17365.919999999998</v>
      </c>
      <c r="X34" s="381">
        <v>7505.37</v>
      </c>
      <c r="Y34" s="381">
        <v>17365.919999999998</v>
      </c>
      <c r="Z34" s="381">
        <v>7722.34</v>
      </c>
      <c r="AA34" s="377" t="s">
        <v>358</v>
      </c>
      <c r="AB34" s="377" t="s">
        <v>359</v>
      </c>
      <c r="AC34" s="377" t="s">
        <v>360</v>
      </c>
      <c r="AD34" s="377" t="s">
        <v>361</v>
      </c>
      <c r="AE34" s="377" t="s">
        <v>357</v>
      </c>
      <c r="AF34" s="377" t="s">
        <v>237</v>
      </c>
      <c r="AG34" s="377" t="s">
        <v>179</v>
      </c>
      <c r="AH34" s="382">
        <v>27.83</v>
      </c>
      <c r="AI34" s="382">
        <v>26865.4</v>
      </c>
      <c r="AJ34" s="377" t="s">
        <v>180</v>
      </c>
      <c r="AK34" s="377" t="s">
        <v>181</v>
      </c>
      <c r="AL34" s="377" t="s">
        <v>182</v>
      </c>
      <c r="AM34" s="377" t="s">
        <v>183</v>
      </c>
      <c r="AN34" s="377" t="s">
        <v>66</v>
      </c>
      <c r="AO34" s="380">
        <v>80</v>
      </c>
      <c r="AP34" s="386">
        <v>1</v>
      </c>
      <c r="AQ34" s="386">
        <v>0.3</v>
      </c>
      <c r="AR34" s="384" t="s">
        <v>184</v>
      </c>
      <c r="AS34" s="388">
        <f t="shared" si="27"/>
        <v>0.3</v>
      </c>
      <c r="AT34">
        <f t="shared" si="28"/>
        <v>1</v>
      </c>
      <c r="AU34" s="388">
        <f>IF(AT34=0,"",IF(AND(AT34=1,M34="F",SUMIF(C2:C112,C34,AS2:AS112)&lt;=1),SUMIF(C2:C112,C34,AS2:AS112),IF(AND(AT34=1,M34="F",SUMIF(C2:C112,C34,AS2:AS112)&gt;1),1,"")))</f>
        <v>1</v>
      </c>
      <c r="AV34" s="388" t="str">
        <f>IF(AT34=0,"",IF(AND(AT34=3,M34="F",SUMIF(C2:C112,C34,AS2:AS112)&lt;=1),SUMIF(C2:C112,C34,AS2:AS112),IF(AND(AT34=3,M34="F",SUMIF(C2:C112,C34,AS2:AS112)&gt;1),1,"")))</f>
        <v/>
      </c>
      <c r="AW34" s="388">
        <f>SUMIF(C2:C112,C34,O2:O112)</f>
        <v>2</v>
      </c>
      <c r="AX34" s="388">
        <f>IF(AND(M34="F",AS34&lt;&gt;0),SUMIF(C2:C112,C34,W2:W112),0)</f>
        <v>57886.400000000001</v>
      </c>
      <c r="AY34" s="388">
        <f t="shared" si="29"/>
        <v>17365.919999999998</v>
      </c>
      <c r="AZ34" s="388" t="str">
        <f t="shared" si="30"/>
        <v/>
      </c>
      <c r="BA34" s="388">
        <f t="shared" si="31"/>
        <v>0</v>
      </c>
      <c r="BB34" s="388">
        <f t="shared" ref="BB34:BB65" si="44">IF(AND(AT34=1,AK34="E",AU34&gt;=0.75,AW34=1),Health,IF(AND(AT34=1,AK34="E",AU34&gt;=0.75),Health*P34,IF(AND(AT34=1,AK34="E",AU34&gt;=0.5,AW34=1),PTHealth,IF(AND(AT34=1,AK34="E",AU34&gt;=0.5),PTHealth*P34,0))))</f>
        <v>3750</v>
      </c>
      <c r="BC34" s="388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8">
        <f t="shared" ref="BD34:BD65" si="46">IF(AND(AT34&lt;&gt;0,AX34&gt;=MAXSSDI),SSDI*MAXSSDI*P34,IF(AT34&lt;&gt;0,SSDI*W34,0))</f>
        <v>1076.6870399999998</v>
      </c>
      <c r="BE34" s="388">
        <f t="shared" ref="BE34:BE65" si="47">IF(AT34&lt;&gt;0,SSHI*W34,0)</f>
        <v>251.80583999999999</v>
      </c>
      <c r="BF34" s="388">
        <f t="shared" ref="BF34:BF65" si="48">IF(AND(AT34&lt;&gt;0,AN34&lt;&gt;"NE"),VLOOKUP(AN34,Retirement_Rates,3,FALSE)*W34,0)</f>
        <v>2073.4908479999999</v>
      </c>
      <c r="BG34" s="388">
        <f t="shared" ref="BG34:BG65" si="49">IF(AND(AT34&lt;&gt;0,AJ34&lt;&gt;"PF"),Life*W34,0)</f>
        <v>125.2082832</v>
      </c>
      <c r="BH34" s="388">
        <f t="shared" ref="BH34:BH65" si="50">IF(AND(AT34&lt;&gt;0,AM34="Y"),UI*W34,0)</f>
        <v>0</v>
      </c>
      <c r="BI34" s="388">
        <f t="shared" ref="BI34:BI65" si="51">IF(AND(AT34&lt;&gt;0,N34&lt;&gt;"NR"),DHR*W34,0)</f>
        <v>96.12036719999999</v>
      </c>
      <c r="BJ34" s="388">
        <f t="shared" ref="BJ34:BJ65" si="52">IF(AT34&lt;&gt;0,WC*W34,0)</f>
        <v>131.98099199999999</v>
      </c>
      <c r="BK34" s="388">
        <f t="shared" ref="BK34:BK65" si="53">IF(OR(AND(AT34&lt;&gt;0,AJ34&lt;&gt;"PF",AN34&lt;&gt;"NE",AG34&lt;&gt;"A"),AND(AL34="E",OR(AT34=1,AT34=3))),Sick*W34,0)</f>
        <v>0</v>
      </c>
      <c r="BL34" s="388">
        <f t="shared" si="32"/>
        <v>3755.2933703999997</v>
      </c>
      <c r="BM34" s="388">
        <f t="shared" si="33"/>
        <v>0</v>
      </c>
      <c r="BN34" s="388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4125</v>
      </c>
      <c r="BO34" s="388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8">
        <f t="shared" ref="BP34:BP65" si="56">IF(AND(AT34&lt;&gt;0,(AX34+BA34)&gt;=MAXSSDIBY),SSDIBY*MAXSSDIBY*P34,IF(AT34&lt;&gt;0,SSDIBY*W34,0))</f>
        <v>1076.6870399999998</v>
      </c>
      <c r="BQ34" s="388">
        <f t="shared" ref="BQ34:BQ65" si="57">IF(AT34&lt;&gt;0,SSHIBY*W34,0)</f>
        <v>251.80583999999999</v>
      </c>
      <c r="BR34" s="388">
        <f t="shared" ref="BR34:BR65" si="58">IF(AND(AT34&lt;&gt;0,AN34&lt;&gt;"NE"),VLOOKUP(AN34,Retirement_Rates,4,FALSE)*W34,0)</f>
        <v>1941.5098559999997</v>
      </c>
      <c r="BS34" s="388">
        <f t="shared" ref="BS34:BS65" si="59">IF(AND(AT34&lt;&gt;0,AJ34&lt;&gt;"PF"),LifeBY*W34,0)</f>
        <v>125.2082832</v>
      </c>
      <c r="BT34" s="388">
        <f t="shared" ref="BT34:BT65" si="60">IF(AND(AT34&lt;&gt;0,AM34="Y"),UIBY*W34,0)</f>
        <v>0</v>
      </c>
      <c r="BU34" s="388">
        <f t="shared" ref="BU34:BU65" si="61">IF(AND(AT34&lt;&gt;0,N34&lt;&gt;"NR"),DHRBY*W34,0)</f>
        <v>96.12036719999999</v>
      </c>
      <c r="BV34" s="388">
        <f t="shared" ref="BV34:BV65" si="62">IF(AT34&lt;&gt;0,WCBY*W34,0)</f>
        <v>105.93211199999999</v>
      </c>
      <c r="BW34" s="388">
        <f t="shared" ref="BW34:BW65" si="63">IF(OR(AND(AT34&lt;&gt;0,AJ34&lt;&gt;"PF",AN34&lt;&gt;"NE",AG34&lt;&gt;"A"),AND(AL34="E",OR(AT34=1,AT34=3))),SickBY*W34,0)</f>
        <v>0</v>
      </c>
      <c r="BX34" s="388">
        <f t="shared" si="34"/>
        <v>3597.2634983999997</v>
      </c>
      <c r="BY34" s="388">
        <f t="shared" si="35"/>
        <v>0</v>
      </c>
      <c r="BZ34" s="388">
        <f t="shared" si="36"/>
        <v>375</v>
      </c>
      <c r="CA34" s="388">
        <f t="shared" si="37"/>
        <v>0</v>
      </c>
      <c r="CB34" s="388">
        <f t="shared" si="38"/>
        <v>0</v>
      </c>
      <c r="CC34" s="388">
        <f t="shared" ref="CC34:CC65" si="64">IF(AT34&lt;&gt;0,SSHICHG*Y34,0)</f>
        <v>0</v>
      </c>
      <c r="CD34" s="388">
        <f t="shared" ref="CD34:CD65" si="65">IF(AND(AT34&lt;&gt;0,AN34&lt;&gt;"NE"),VLOOKUP(AN34,Retirement_Rates,5,FALSE)*Y34,0)</f>
        <v>-131.98099200000016</v>
      </c>
      <c r="CE34" s="388">
        <f t="shared" ref="CE34:CE65" si="66">IF(AND(AT34&lt;&gt;0,AJ34&lt;&gt;"PF"),LifeCHG*Y34,0)</f>
        <v>0</v>
      </c>
      <c r="CF34" s="388">
        <f t="shared" ref="CF34:CF65" si="67">IF(AND(AT34&lt;&gt;0,AM34="Y"),UICHG*Y34,0)</f>
        <v>0</v>
      </c>
      <c r="CG34" s="388">
        <f t="shared" ref="CG34:CG65" si="68">IF(AND(AT34&lt;&gt;0,N34&lt;&gt;"NR"),DHRCHG*Y34,0)</f>
        <v>0</v>
      </c>
      <c r="CH34" s="388">
        <f t="shared" ref="CH34:CH65" si="69">IF(AT34&lt;&gt;0,WCCHG*Y34,0)</f>
        <v>-26.04887999999999</v>
      </c>
      <c r="CI34" s="388">
        <f t="shared" ref="CI34:CI65" si="70">IF(OR(AND(AT34&lt;&gt;0,AJ34&lt;&gt;"PF",AN34&lt;&gt;"NE",AG34&lt;&gt;"A"),AND(AL34="E",OR(AT34=1,AT34=3))),SickCHG*Y34,0)</f>
        <v>0</v>
      </c>
      <c r="CJ34" s="388">
        <f t="shared" si="39"/>
        <v>-158.02987200000015</v>
      </c>
      <c r="CK34" s="388" t="str">
        <f t="shared" si="40"/>
        <v/>
      </c>
      <c r="CL34" s="388" t="str">
        <f t="shared" si="41"/>
        <v/>
      </c>
      <c r="CM34" s="388" t="str">
        <f t="shared" si="42"/>
        <v/>
      </c>
      <c r="CN34" s="388" t="str">
        <f t="shared" si="43"/>
        <v>0001-00</v>
      </c>
    </row>
    <row r="35" spans="1:92" ht="15.75" thickBot="1">
      <c r="A35" s="377" t="s">
        <v>162</v>
      </c>
      <c r="B35" s="377" t="s">
        <v>163</v>
      </c>
      <c r="C35" s="377" t="s">
        <v>362</v>
      </c>
      <c r="D35" s="377" t="s">
        <v>314</v>
      </c>
      <c r="E35" s="377" t="s">
        <v>166</v>
      </c>
      <c r="F35" s="378" t="s">
        <v>167</v>
      </c>
      <c r="G35" s="377" t="s">
        <v>168</v>
      </c>
      <c r="H35" s="379"/>
      <c r="I35" s="379"/>
      <c r="J35" s="377" t="s">
        <v>169</v>
      </c>
      <c r="K35" s="377" t="s">
        <v>315</v>
      </c>
      <c r="L35" s="377" t="s">
        <v>167</v>
      </c>
      <c r="M35" s="377" t="s">
        <v>172</v>
      </c>
      <c r="N35" s="377" t="s">
        <v>214</v>
      </c>
      <c r="O35" s="380">
        <v>0</v>
      </c>
      <c r="P35" s="386">
        <v>0</v>
      </c>
      <c r="Q35" s="386">
        <v>0</v>
      </c>
      <c r="R35" s="381">
        <v>0</v>
      </c>
      <c r="S35" s="386">
        <v>0</v>
      </c>
      <c r="T35" s="381">
        <v>0</v>
      </c>
      <c r="U35" s="381">
        <v>0</v>
      </c>
      <c r="V35" s="381">
        <v>4.58</v>
      </c>
      <c r="W35" s="381">
        <v>0</v>
      </c>
      <c r="X35" s="381">
        <v>0</v>
      </c>
      <c r="Y35" s="381">
        <v>0</v>
      </c>
      <c r="Z35" s="381">
        <v>0</v>
      </c>
      <c r="AA35" s="379"/>
      <c r="AB35" s="377" t="s">
        <v>45</v>
      </c>
      <c r="AC35" s="377" t="s">
        <v>45</v>
      </c>
      <c r="AD35" s="379"/>
      <c r="AE35" s="379"/>
      <c r="AF35" s="379"/>
      <c r="AG35" s="379"/>
      <c r="AH35" s="380">
        <v>0</v>
      </c>
      <c r="AI35" s="380">
        <v>0</v>
      </c>
      <c r="AJ35" s="379"/>
      <c r="AK35" s="379"/>
      <c r="AL35" s="377" t="s">
        <v>182</v>
      </c>
      <c r="AM35" s="379"/>
      <c r="AN35" s="379"/>
      <c r="AO35" s="380">
        <v>0</v>
      </c>
      <c r="AP35" s="386">
        <v>0</v>
      </c>
      <c r="AQ35" s="386">
        <v>0</v>
      </c>
      <c r="AR35" s="385"/>
      <c r="AS35" s="388">
        <f t="shared" si="27"/>
        <v>0</v>
      </c>
      <c r="AT35">
        <f t="shared" si="28"/>
        <v>0</v>
      </c>
      <c r="AU35" s="388" t="str">
        <f>IF(AT35=0,"",IF(AND(AT35=1,M35="F",SUMIF(C2:C112,C35,AS2:AS112)&lt;=1),SUMIF(C2:C112,C35,AS2:AS112),IF(AND(AT35=1,M35="F",SUMIF(C2:C112,C35,AS2:AS112)&gt;1),1,"")))</f>
        <v/>
      </c>
      <c r="AV35" s="388" t="str">
        <f>IF(AT35=0,"",IF(AND(AT35=3,M35="F",SUMIF(C2:C112,C35,AS2:AS112)&lt;=1),SUMIF(C2:C112,C35,AS2:AS112),IF(AND(AT35=3,M35="F",SUMIF(C2:C112,C35,AS2:AS112)&gt;1),1,"")))</f>
        <v/>
      </c>
      <c r="AW35" s="388">
        <f>SUMIF(C2:C112,C35,O2:O112)</f>
        <v>0</v>
      </c>
      <c r="AX35" s="388">
        <f>IF(AND(M35="F",AS35&lt;&gt;0),SUMIF(C2:C112,C35,W2:W112),0)</f>
        <v>0</v>
      </c>
      <c r="AY35" s="388" t="str">
        <f t="shared" si="29"/>
        <v/>
      </c>
      <c r="AZ35" s="388" t="str">
        <f t="shared" si="30"/>
        <v/>
      </c>
      <c r="BA35" s="388">
        <f t="shared" si="31"/>
        <v>0</v>
      </c>
      <c r="BB35" s="388">
        <f t="shared" si="44"/>
        <v>0</v>
      </c>
      <c r="BC35" s="388">
        <f t="shared" si="45"/>
        <v>0</v>
      </c>
      <c r="BD35" s="388">
        <f t="shared" si="46"/>
        <v>0</v>
      </c>
      <c r="BE35" s="388">
        <f t="shared" si="47"/>
        <v>0</v>
      </c>
      <c r="BF35" s="388">
        <f t="shared" si="48"/>
        <v>0</v>
      </c>
      <c r="BG35" s="388">
        <f t="shared" si="49"/>
        <v>0</v>
      </c>
      <c r="BH35" s="388">
        <f t="shared" si="50"/>
        <v>0</v>
      </c>
      <c r="BI35" s="388">
        <f t="shared" si="51"/>
        <v>0</v>
      </c>
      <c r="BJ35" s="388">
        <f t="shared" si="52"/>
        <v>0</v>
      </c>
      <c r="BK35" s="388">
        <f t="shared" si="53"/>
        <v>0</v>
      </c>
      <c r="BL35" s="388">
        <f t="shared" si="32"/>
        <v>0</v>
      </c>
      <c r="BM35" s="388">
        <f t="shared" si="33"/>
        <v>0</v>
      </c>
      <c r="BN35" s="388">
        <f t="shared" si="54"/>
        <v>0</v>
      </c>
      <c r="BO35" s="388">
        <f t="shared" si="55"/>
        <v>0</v>
      </c>
      <c r="BP35" s="388">
        <f t="shared" si="56"/>
        <v>0</v>
      </c>
      <c r="BQ35" s="388">
        <f t="shared" si="57"/>
        <v>0</v>
      </c>
      <c r="BR35" s="388">
        <f t="shared" si="58"/>
        <v>0</v>
      </c>
      <c r="BS35" s="388">
        <f t="shared" si="59"/>
        <v>0</v>
      </c>
      <c r="BT35" s="388">
        <f t="shared" si="60"/>
        <v>0</v>
      </c>
      <c r="BU35" s="388">
        <f t="shared" si="61"/>
        <v>0</v>
      </c>
      <c r="BV35" s="388">
        <f t="shared" si="62"/>
        <v>0</v>
      </c>
      <c r="BW35" s="388">
        <f t="shared" si="63"/>
        <v>0</v>
      </c>
      <c r="BX35" s="388">
        <f t="shared" si="34"/>
        <v>0</v>
      </c>
      <c r="BY35" s="388">
        <f t="shared" si="35"/>
        <v>0</v>
      </c>
      <c r="BZ35" s="388">
        <f t="shared" si="36"/>
        <v>0</v>
      </c>
      <c r="CA35" s="388">
        <f t="shared" si="37"/>
        <v>0</v>
      </c>
      <c r="CB35" s="388">
        <f t="shared" si="38"/>
        <v>0</v>
      </c>
      <c r="CC35" s="388">
        <f t="shared" si="64"/>
        <v>0</v>
      </c>
      <c r="CD35" s="388">
        <f t="shared" si="65"/>
        <v>0</v>
      </c>
      <c r="CE35" s="388">
        <f t="shared" si="66"/>
        <v>0</v>
      </c>
      <c r="CF35" s="388">
        <f t="shared" si="67"/>
        <v>0</v>
      </c>
      <c r="CG35" s="388">
        <f t="shared" si="68"/>
        <v>0</v>
      </c>
      <c r="CH35" s="388">
        <f t="shared" si="69"/>
        <v>0</v>
      </c>
      <c r="CI35" s="388">
        <f t="shared" si="70"/>
        <v>0</v>
      </c>
      <c r="CJ35" s="388">
        <f t="shared" si="39"/>
        <v>0</v>
      </c>
      <c r="CK35" s="388" t="str">
        <f t="shared" si="40"/>
        <v/>
      </c>
      <c r="CL35" s="388">
        <f t="shared" si="41"/>
        <v>0</v>
      </c>
      <c r="CM35" s="388">
        <f t="shared" si="42"/>
        <v>4.58</v>
      </c>
      <c r="CN35" s="388" t="str">
        <f t="shared" si="43"/>
        <v>0001-00</v>
      </c>
    </row>
    <row r="36" spans="1:92" ht="15.75" thickBot="1">
      <c r="A36" s="377" t="s">
        <v>162</v>
      </c>
      <c r="B36" s="377" t="s">
        <v>163</v>
      </c>
      <c r="C36" s="377" t="s">
        <v>363</v>
      </c>
      <c r="D36" s="377" t="s">
        <v>364</v>
      </c>
      <c r="E36" s="377" t="s">
        <v>166</v>
      </c>
      <c r="F36" s="378" t="s">
        <v>167</v>
      </c>
      <c r="G36" s="377" t="s">
        <v>168</v>
      </c>
      <c r="H36" s="379"/>
      <c r="I36" s="379"/>
      <c r="J36" s="377" t="s">
        <v>169</v>
      </c>
      <c r="K36" s="377" t="s">
        <v>365</v>
      </c>
      <c r="L36" s="377" t="s">
        <v>179</v>
      </c>
      <c r="M36" s="377" t="s">
        <v>172</v>
      </c>
      <c r="N36" s="377" t="s">
        <v>173</v>
      </c>
      <c r="O36" s="380">
        <v>1</v>
      </c>
      <c r="P36" s="386">
        <v>0</v>
      </c>
      <c r="Q36" s="386">
        <v>0</v>
      </c>
      <c r="R36" s="381">
        <v>80</v>
      </c>
      <c r="S36" s="386">
        <v>0</v>
      </c>
      <c r="T36" s="381">
        <v>8626.24</v>
      </c>
      <c r="U36" s="381">
        <v>0</v>
      </c>
      <c r="V36" s="381">
        <v>4961.5</v>
      </c>
      <c r="W36" s="381">
        <v>0</v>
      </c>
      <c r="X36" s="381">
        <v>0</v>
      </c>
      <c r="Y36" s="381">
        <v>0</v>
      </c>
      <c r="Z36" s="381">
        <v>0</v>
      </c>
      <c r="AA36" s="377" t="s">
        <v>366</v>
      </c>
      <c r="AB36" s="377" t="s">
        <v>367</v>
      </c>
      <c r="AC36" s="377" t="s">
        <v>368</v>
      </c>
      <c r="AD36" s="377" t="s">
        <v>288</v>
      </c>
      <c r="AE36" s="377" t="s">
        <v>365</v>
      </c>
      <c r="AF36" s="377" t="s">
        <v>210</v>
      </c>
      <c r="AG36" s="377" t="s">
        <v>179</v>
      </c>
      <c r="AH36" s="382">
        <v>17.399999999999999</v>
      </c>
      <c r="AI36" s="380">
        <v>720</v>
      </c>
      <c r="AJ36" s="377" t="s">
        <v>180</v>
      </c>
      <c r="AK36" s="377" t="s">
        <v>181</v>
      </c>
      <c r="AL36" s="377" t="s">
        <v>182</v>
      </c>
      <c r="AM36" s="377" t="s">
        <v>183</v>
      </c>
      <c r="AN36" s="377" t="s">
        <v>66</v>
      </c>
      <c r="AO36" s="380">
        <v>80</v>
      </c>
      <c r="AP36" s="386">
        <v>1</v>
      </c>
      <c r="AQ36" s="386">
        <v>0</v>
      </c>
      <c r="AR36" s="384" t="s">
        <v>184</v>
      </c>
      <c r="AS36" s="388">
        <f t="shared" si="27"/>
        <v>0</v>
      </c>
      <c r="AT36">
        <f t="shared" si="28"/>
        <v>0</v>
      </c>
      <c r="AU36" s="388" t="str">
        <f>IF(AT36=0,"",IF(AND(AT36=1,M36="F",SUMIF(C2:C112,C36,AS2:AS112)&lt;=1),SUMIF(C2:C112,C36,AS2:AS112),IF(AND(AT36=1,M36="F",SUMIF(C2:C112,C36,AS2:AS112)&gt;1),1,"")))</f>
        <v/>
      </c>
      <c r="AV36" s="388" t="str">
        <f>IF(AT36=0,"",IF(AND(AT36=3,M36="F",SUMIF(C2:C112,C36,AS2:AS112)&lt;=1),SUMIF(C2:C112,C36,AS2:AS112),IF(AND(AT36=3,M36="F",SUMIF(C2:C112,C36,AS2:AS112)&gt;1),1,"")))</f>
        <v/>
      </c>
      <c r="AW36" s="388">
        <f>SUMIF(C2:C112,C36,O2:O112)</f>
        <v>2</v>
      </c>
      <c r="AX36" s="388">
        <f>IF(AND(M36="F",AS36&lt;&gt;0),SUMIF(C2:C112,C36,W2:W112),0)</f>
        <v>0</v>
      </c>
      <c r="AY36" s="388" t="str">
        <f t="shared" si="29"/>
        <v/>
      </c>
      <c r="AZ36" s="388" t="str">
        <f t="shared" si="30"/>
        <v/>
      </c>
      <c r="BA36" s="388">
        <f t="shared" si="31"/>
        <v>0</v>
      </c>
      <c r="BB36" s="388">
        <f t="shared" si="44"/>
        <v>0</v>
      </c>
      <c r="BC36" s="388">
        <f t="shared" si="45"/>
        <v>0</v>
      </c>
      <c r="BD36" s="388">
        <f t="shared" si="46"/>
        <v>0</v>
      </c>
      <c r="BE36" s="388">
        <f t="shared" si="47"/>
        <v>0</v>
      </c>
      <c r="BF36" s="388">
        <f t="shared" si="48"/>
        <v>0</v>
      </c>
      <c r="BG36" s="388">
        <f t="shared" si="49"/>
        <v>0</v>
      </c>
      <c r="BH36" s="388">
        <f t="shared" si="50"/>
        <v>0</v>
      </c>
      <c r="BI36" s="388">
        <f t="shared" si="51"/>
        <v>0</v>
      </c>
      <c r="BJ36" s="388">
        <f t="shared" si="52"/>
        <v>0</v>
      </c>
      <c r="BK36" s="388">
        <f t="shared" si="53"/>
        <v>0</v>
      </c>
      <c r="BL36" s="388">
        <f t="shared" si="32"/>
        <v>0</v>
      </c>
      <c r="BM36" s="388">
        <f t="shared" si="33"/>
        <v>0</v>
      </c>
      <c r="BN36" s="388">
        <f t="shared" si="54"/>
        <v>0</v>
      </c>
      <c r="BO36" s="388">
        <f t="shared" si="55"/>
        <v>0</v>
      </c>
      <c r="BP36" s="388">
        <f t="shared" si="56"/>
        <v>0</v>
      </c>
      <c r="BQ36" s="388">
        <f t="shared" si="57"/>
        <v>0</v>
      </c>
      <c r="BR36" s="388">
        <f t="shared" si="58"/>
        <v>0</v>
      </c>
      <c r="BS36" s="388">
        <f t="shared" si="59"/>
        <v>0</v>
      </c>
      <c r="BT36" s="388">
        <f t="shared" si="60"/>
        <v>0</v>
      </c>
      <c r="BU36" s="388">
        <f t="shared" si="61"/>
        <v>0</v>
      </c>
      <c r="BV36" s="388">
        <f t="shared" si="62"/>
        <v>0</v>
      </c>
      <c r="BW36" s="388">
        <f t="shared" si="63"/>
        <v>0</v>
      </c>
      <c r="BX36" s="388">
        <f t="shared" si="34"/>
        <v>0</v>
      </c>
      <c r="BY36" s="388">
        <f t="shared" si="35"/>
        <v>0</v>
      </c>
      <c r="BZ36" s="388">
        <f t="shared" si="36"/>
        <v>0</v>
      </c>
      <c r="CA36" s="388">
        <f t="shared" si="37"/>
        <v>0</v>
      </c>
      <c r="CB36" s="388">
        <f t="shared" si="38"/>
        <v>0</v>
      </c>
      <c r="CC36" s="388">
        <f t="shared" si="64"/>
        <v>0</v>
      </c>
      <c r="CD36" s="388">
        <f t="shared" si="65"/>
        <v>0</v>
      </c>
      <c r="CE36" s="388">
        <f t="shared" si="66"/>
        <v>0</v>
      </c>
      <c r="CF36" s="388">
        <f t="shared" si="67"/>
        <v>0</v>
      </c>
      <c r="CG36" s="388">
        <f t="shared" si="68"/>
        <v>0</v>
      </c>
      <c r="CH36" s="388">
        <f t="shared" si="69"/>
        <v>0</v>
      </c>
      <c r="CI36" s="388">
        <f t="shared" si="70"/>
        <v>0</v>
      </c>
      <c r="CJ36" s="388">
        <f t="shared" si="39"/>
        <v>0</v>
      </c>
      <c r="CK36" s="388" t="str">
        <f t="shared" si="40"/>
        <v/>
      </c>
      <c r="CL36" s="388" t="str">
        <f t="shared" si="41"/>
        <v/>
      </c>
      <c r="CM36" s="388" t="str">
        <f t="shared" si="42"/>
        <v/>
      </c>
      <c r="CN36" s="388" t="str">
        <f t="shared" si="43"/>
        <v>0001-00</v>
      </c>
    </row>
    <row r="37" spans="1:92" ht="15.75" thickBot="1">
      <c r="A37" s="377" t="s">
        <v>162</v>
      </c>
      <c r="B37" s="377" t="s">
        <v>163</v>
      </c>
      <c r="C37" s="377" t="s">
        <v>369</v>
      </c>
      <c r="D37" s="377" t="s">
        <v>370</v>
      </c>
      <c r="E37" s="377" t="s">
        <v>166</v>
      </c>
      <c r="F37" s="378" t="s">
        <v>167</v>
      </c>
      <c r="G37" s="377" t="s">
        <v>168</v>
      </c>
      <c r="H37" s="379"/>
      <c r="I37" s="379"/>
      <c r="J37" s="377" t="s">
        <v>169</v>
      </c>
      <c r="K37" s="377" t="s">
        <v>371</v>
      </c>
      <c r="L37" s="377" t="s">
        <v>217</v>
      </c>
      <c r="M37" s="377" t="s">
        <v>172</v>
      </c>
      <c r="N37" s="377" t="s">
        <v>173</v>
      </c>
      <c r="O37" s="380">
        <v>1</v>
      </c>
      <c r="P37" s="386">
        <v>1</v>
      </c>
      <c r="Q37" s="386">
        <v>1</v>
      </c>
      <c r="R37" s="381">
        <v>80</v>
      </c>
      <c r="S37" s="386">
        <v>1</v>
      </c>
      <c r="T37" s="381">
        <v>68754.89</v>
      </c>
      <c r="U37" s="381">
        <v>0</v>
      </c>
      <c r="V37" s="381">
        <v>26000.74</v>
      </c>
      <c r="W37" s="381">
        <v>70948.800000000003</v>
      </c>
      <c r="X37" s="381">
        <v>27842.65</v>
      </c>
      <c r="Y37" s="381">
        <v>70948.800000000003</v>
      </c>
      <c r="Z37" s="381">
        <v>28447.01</v>
      </c>
      <c r="AA37" s="377" t="s">
        <v>372</v>
      </c>
      <c r="AB37" s="377" t="s">
        <v>373</v>
      </c>
      <c r="AC37" s="377" t="s">
        <v>305</v>
      </c>
      <c r="AD37" s="377" t="s">
        <v>374</v>
      </c>
      <c r="AE37" s="377" t="s">
        <v>371</v>
      </c>
      <c r="AF37" s="377" t="s">
        <v>222</v>
      </c>
      <c r="AG37" s="377" t="s">
        <v>179</v>
      </c>
      <c r="AH37" s="382">
        <v>34.11</v>
      </c>
      <c r="AI37" s="380">
        <v>8989</v>
      </c>
      <c r="AJ37" s="377" t="s">
        <v>180</v>
      </c>
      <c r="AK37" s="377" t="s">
        <v>181</v>
      </c>
      <c r="AL37" s="377" t="s">
        <v>182</v>
      </c>
      <c r="AM37" s="377" t="s">
        <v>183</v>
      </c>
      <c r="AN37" s="377" t="s">
        <v>66</v>
      </c>
      <c r="AO37" s="380">
        <v>80</v>
      </c>
      <c r="AP37" s="386">
        <v>1</v>
      </c>
      <c r="AQ37" s="386">
        <v>1</v>
      </c>
      <c r="AR37" s="384" t="s">
        <v>184</v>
      </c>
      <c r="AS37" s="388">
        <f t="shared" si="27"/>
        <v>1</v>
      </c>
      <c r="AT37">
        <f t="shared" si="28"/>
        <v>1</v>
      </c>
      <c r="AU37" s="388">
        <f>IF(AT37=0,"",IF(AND(AT37=1,M37="F",SUMIF(C2:C112,C37,AS2:AS112)&lt;=1),SUMIF(C2:C112,C37,AS2:AS112),IF(AND(AT37=1,M37="F",SUMIF(C2:C112,C37,AS2:AS112)&gt;1),1,"")))</f>
        <v>1</v>
      </c>
      <c r="AV37" s="388" t="str">
        <f>IF(AT37=0,"",IF(AND(AT37=3,M37="F",SUMIF(C2:C112,C37,AS2:AS112)&lt;=1),SUMIF(C2:C112,C37,AS2:AS112),IF(AND(AT37=3,M37="F",SUMIF(C2:C112,C37,AS2:AS112)&gt;1),1,"")))</f>
        <v/>
      </c>
      <c r="AW37" s="388">
        <f>SUMIF(C2:C112,C37,O2:O112)</f>
        <v>2</v>
      </c>
      <c r="AX37" s="388">
        <f>IF(AND(M37="F",AS37&lt;&gt;0),SUMIF(C2:C112,C37,W2:W112),0)</f>
        <v>70948.800000000003</v>
      </c>
      <c r="AY37" s="388">
        <f t="shared" si="29"/>
        <v>70948.800000000003</v>
      </c>
      <c r="AZ37" s="388" t="str">
        <f t="shared" si="30"/>
        <v/>
      </c>
      <c r="BA37" s="388">
        <f t="shared" si="31"/>
        <v>0</v>
      </c>
      <c r="BB37" s="388">
        <f t="shared" si="44"/>
        <v>12500</v>
      </c>
      <c r="BC37" s="388">
        <f t="shared" si="45"/>
        <v>0</v>
      </c>
      <c r="BD37" s="388">
        <f t="shared" si="46"/>
        <v>4398.8256000000001</v>
      </c>
      <c r="BE37" s="388">
        <f t="shared" si="47"/>
        <v>1028.7576000000001</v>
      </c>
      <c r="BF37" s="388">
        <f t="shared" si="48"/>
        <v>8471.2867200000001</v>
      </c>
      <c r="BG37" s="388">
        <f t="shared" si="49"/>
        <v>511.54084800000004</v>
      </c>
      <c r="BH37" s="388">
        <f t="shared" si="50"/>
        <v>0</v>
      </c>
      <c r="BI37" s="388">
        <f t="shared" si="51"/>
        <v>392.70160800000002</v>
      </c>
      <c r="BJ37" s="388">
        <f t="shared" si="52"/>
        <v>539.21087999999997</v>
      </c>
      <c r="BK37" s="388">
        <f t="shared" si="53"/>
        <v>0</v>
      </c>
      <c r="BL37" s="388">
        <f t="shared" si="32"/>
        <v>15342.323256000001</v>
      </c>
      <c r="BM37" s="388">
        <f t="shared" si="33"/>
        <v>0</v>
      </c>
      <c r="BN37" s="388">
        <f t="shared" si="54"/>
        <v>13750</v>
      </c>
      <c r="BO37" s="388">
        <f t="shared" si="55"/>
        <v>0</v>
      </c>
      <c r="BP37" s="388">
        <f t="shared" si="56"/>
        <v>4398.8256000000001</v>
      </c>
      <c r="BQ37" s="388">
        <f t="shared" si="57"/>
        <v>1028.7576000000001</v>
      </c>
      <c r="BR37" s="388">
        <f t="shared" si="58"/>
        <v>7932.0758400000004</v>
      </c>
      <c r="BS37" s="388">
        <f t="shared" si="59"/>
        <v>511.54084800000004</v>
      </c>
      <c r="BT37" s="388">
        <f t="shared" si="60"/>
        <v>0</v>
      </c>
      <c r="BU37" s="388">
        <f t="shared" si="61"/>
        <v>392.70160800000002</v>
      </c>
      <c r="BV37" s="388">
        <f t="shared" si="62"/>
        <v>432.78768000000002</v>
      </c>
      <c r="BW37" s="388">
        <f t="shared" si="63"/>
        <v>0</v>
      </c>
      <c r="BX37" s="388">
        <f t="shared" si="34"/>
        <v>14696.689176</v>
      </c>
      <c r="BY37" s="388">
        <f t="shared" si="35"/>
        <v>0</v>
      </c>
      <c r="BZ37" s="388">
        <f t="shared" si="36"/>
        <v>1250</v>
      </c>
      <c r="CA37" s="388">
        <f t="shared" si="37"/>
        <v>0</v>
      </c>
      <c r="CB37" s="388">
        <f t="shared" si="38"/>
        <v>0</v>
      </c>
      <c r="CC37" s="388">
        <f t="shared" si="64"/>
        <v>0</v>
      </c>
      <c r="CD37" s="388">
        <f t="shared" si="65"/>
        <v>-539.21088000000066</v>
      </c>
      <c r="CE37" s="388">
        <f t="shared" si="66"/>
        <v>0</v>
      </c>
      <c r="CF37" s="388">
        <f t="shared" si="67"/>
        <v>0</v>
      </c>
      <c r="CG37" s="388">
        <f t="shared" si="68"/>
        <v>0</v>
      </c>
      <c r="CH37" s="388">
        <f t="shared" si="69"/>
        <v>-106.42319999999998</v>
      </c>
      <c r="CI37" s="388">
        <f t="shared" si="70"/>
        <v>0</v>
      </c>
      <c r="CJ37" s="388">
        <f t="shared" si="39"/>
        <v>-645.63408000000061</v>
      </c>
      <c r="CK37" s="388" t="str">
        <f t="shared" si="40"/>
        <v/>
      </c>
      <c r="CL37" s="388" t="str">
        <f t="shared" si="41"/>
        <v/>
      </c>
      <c r="CM37" s="388" t="str">
        <f t="shared" si="42"/>
        <v/>
      </c>
      <c r="CN37" s="388" t="str">
        <f t="shared" si="43"/>
        <v>0001-00</v>
      </c>
    </row>
    <row r="38" spans="1:92" ht="15.75" thickBot="1">
      <c r="A38" s="377" t="s">
        <v>162</v>
      </c>
      <c r="B38" s="377" t="s">
        <v>163</v>
      </c>
      <c r="C38" s="377" t="s">
        <v>375</v>
      </c>
      <c r="D38" s="377" t="s">
        <v>249</v>
      </c>
      <c r="E38" s="377" t="s">
        <v>166</v>
      </c>
      <c r="F38" s="378" t="s">
        <v>167</v>
      </c>
      <c r="G38" s="377" t="s">
        <v>168</v>
      </c>
      <c r="H38" s="379"/>
      <c r="I38" s="379"/>
      <c r="J38" s="377" t="s">
        <v>192</v>
      </c>
      <c r="K38" s="377" t="s">
        <v>250</v>
      </c>
      <c r="L38" s="377" t="s">
        <v>179</v>
      </c>
      <c r="M38" s="377" t="s">
        <v>189</v>
      </c>
      <c r="N38" s="377" t="s">
        <v>173</v>
      </c>
      <c r="O38" s="380">
        <v>0</v>
      </c>
      <c r="P38" s="386">
        <v>0.75</v>
      </c>
      <c r="Q38" s="386">
        <v>0.75</v>
      </c>
      <c r="R38" s="381">
        <v>80</v>
      </c>
      <c r="S38" s="386">
        <v>0.75</v>
      </c>
      <c r="T38" s="381">
        <v>7409.88</v>
      </c>
      <c r="U38" s="381">
        <v>0</v>
      </c>
      <c r="V38" s="381">
        <v>3550.26</v>
      </c>
      <c r="W38" s="381">
        <v>24788.400000000001</v>
      </c>
      <c r="X38" s="381">
        <v>11154.78</v>
      </c>
      <c r="Y38" s="381">
        <v>24788.400000000001</v>
      </c>
      <c r="Z38" s="381">
        <v>11551.38</v>
      </c>
      <c r="AA38" s="379"/>
      <c r="AB38" s="377" t="s">
        <v>45</v>
      </c>
      <c r="AC38" s="377" t="s">
        <v>45</v>
      </c>
      <c r="AD38" s="379"/>
      <c r="AE38" s="379"/>
      <c r="AF38" s="379"/>
      <c r="AG38" s="379"/>
      <c r="AH38" s="380">
        <v>0</v>
      </c>
      <c r="AI38" s="380">
        <v>0</v>
      </c>
      <c r="AJ38" s="379"/>
      <c r="AK38" s="379"/>
      <c r="AL38" s="377" t="s">
        <v>182</v>
      </c>
      <c r="AM38" s="379"/>
      <c r="AN38" s="379"/>
      <c r="AO38" s="380">
        <v>0</v>
      </c>
      <c r="AP38" s="386">
        <v>0</v>
      </c>
      <c r="AQ38" s="386">
        <v>0</v>
      </c>
      <c r="AR38" s="385"/>
      <c r="AS38" s="388">
        <f t="shared" si="27"/>
        <v>0</v>
      </c>
      <c r="AT38">
        <f t="shared" si="28"/>
        <v>0</v>
      </c>
      <c r="AU38" s="388" t="str">
        <f>IF(AT38=0,"",IF(AND(AT38=1,M38="F",SUMIF(C2:C112,C38,AS2:AS112)&lt;=1),SUMIF(C2:C112,C38,AS2:AS112),IF(AND(AT38=1,M38="F",SUMIF(C2:C112,C38,AS2:AS112)&gt;1),1,"")))</f>
        <v/>
      </c>
      <c r="AV38" s="388" t="str">
        <f>IF(AT38=0,"",IF(AND(AT38=3,M38="F",SUMIF(C2:C112,C38,AS2:AS112)&lt;=1),SUMIF(C2:C112,C38,AS2:AS112),IF(AND(AT38=3,M38="F",SUMIF(C2:C112,C38,AS2:AS112)&gt;1),1,"")))</f>
        <v/>
      </c>
      <c r="AW38" s="388">
        <f>SUMIF(C2:C112,C38,O2:O112)</f>
        <v>0</v>
      </c>
      <c r="AX38" s="388">
        <f>IF(AND(M38="F",AS38&lt;&gt;0),SUMIF(C2:C112,C38,W2:W112),0)</f>
        <v>0</v>
      </c>
      <c r="AY38" s="388" t="str">
        <f t="shared" si="29"/>
        <v/>
      </c>
      <c r="AZ38" s="388" t="str">
        <f t="shared" si="30"/>
        <v/>
      </c>
      <c r="BA38" s="388">
        <f t="shared" si="31"/>
        <v>0</v>
      </c>
      <c r="BB38" s="388">
        <f t="shared" si="44"/>
        <v>0</v>
      </c>
      <c r="BC38" s="388">
        <f t="shared" si="45"/>
        <v>0</v>
      </c>
      <c r="BD38" s="388">
        <f t="shared" si="46"/>
        <v>0</v>
      </c>
      <c r="BE38" s="388">
        <f t="shared" si="47"/>
        <v>0</v>
      </c>
      <c r="BF38" s="388">
        <f t="shared" si="48"/>
        <v>0</v>
      </c>
      <c r="BG38" s="388">
        <f t="shared" si="49"/>
        <v>0</v>
      </c>
      <c r="BH38" s="388">
        <f t="shared" si="50"/>
        <v>0</v>
      </c>
      <c r="BI38" s="388">
        <f t="shared" si="51"/>
        <v>0</v>
      </c>
      <c r="BJ38" s="388">
        <f t="shared" si="52"/>
        <v>0</v>
      </c>
      <c r="BK38" s="388">
        <f t="shared" si="53"/>
        <v>0</v>
      </c>
      <c r="BL38" s="388">
        <f t="shared" si="32"/>
        <v>0</v>
      </c>
      <c r="BM38" s="388">
        <f t="shared" si="33"/>
        <v>0</v>
      </c>
      <c r="BN38" s="388">
        <f t="shared" si="54"/>
        <v>0</v>
      </c>
      <c r="BO38" s="388">
        <f t="shared" si="55"/>
        <v>0</v>
      </c>
      <c r="BP38" s="388">
        <f t="shared" si="56"/>
        <v>0</v>
      </c>
      <c r="BQ38" s="388">
        <f t="shared" si="57"/>
        <v>0</v>
      </c>
      <c r="BR38" s="388">
        <f t="shared" si="58"/>
        <v>0</v>
      </c>
      <c r="BS38" s="388">
        <f t="shared" si="59"/>
        <v>0</v>
      </c>
      <c r="BT38" s="388">
        <f t="shared" si="60"/>
        <v>0</v>
      </c>
      <c r="BU38" s="388">
        <f t="shared" si="61"/>
        <v>0</v>
      </c>
      <c r="BV38" s="388">
        <f t="shared" si="62"/>
        <v>0</v>
      </c>
      <c r="BW38" s="388">
        <f t="shared" si="63"/>
        <v>0</v>
      </c>
      <c r="BX38" s="388">
        <f t="shared" si="34"/>
        <v>0</v>
      </c>
      <c r="BY38" s="388">
        <f t="shared" si="35"/>
        <v>0</v>
      </c>
      <c r="BZ38" s="388">
        <f t="shared" si="36"/>
        <v>0</v>
      </c>
      <c r="CA38" s="388">
        <f t="shared" si="37"/>
        <v>0</v>
      </c>
      <c r="CB38" s="388">
        <f t="shared" si="38"/>
        <v>0</v>
      </c>
      <c r="CC38" s="388">
        <f t="shared" si="64"/>
        <v>0</v>
      </c>
      <c r="CD38" s="388">
        <f t="shared" si="65"/>
        <v>0</v>
      </c>
      <c r="CE38" s="388">
        <f t="shared" si="66"/>
        <v>0</v>
      </c>
      <c r="CF38" s="388">
        <f t="shared" si="67"/>
        <v>0</v>
      </c>
      <c r="CG38" s="388">
        <f t="shared" si="68"/>
        <v>0</v>
      </c>
      <c r="CH38" s="388">
        <f t="shared" si="69"/>
        <v>0</v>
      </c>
      <c r="CI38" s="388">
        <f t="shared" si="70"/>
        <v>0</v>
      </c>
      <c r="CJ38" s="388">
        <f t="shared" si="39"/>
        <v>0</v>
      </c>
      <c r="CK38" s="388" t="str">
        <f t="shared" si="40"/>
        <v/>
      </c>
      <c r="CL38" s="388" t="str">
        <f t="shared" si="41"/>
        <v/>
      </c>
      <c r="CM38" s="388" t="str">
        <f t="shared" si="42"/>
        <v/>
      </c>
      <c r="CN38" s="388" t="str">
        <f t="shared" si="43"/>
        <v>0001-00</v>
      </c>
    </row>
    <row r="39" spans="1:92" ht="15.75" thickBot="1">
      <c r="A39" s="377" t="s">
        <v>162</v>
      </c>
      <c r="B39" s="377" t="s">
        <v>163</v>
      </c>
      <c r="C39" s="377" t="s">
        <v>376</v>
      </c>
      <c r="D39" s="377" t="s">
        <v>377</v>
      </c>
      <c r="E39" s="377" t="s">
        <v>166</v>
      </c>
      <c r="F39" s="378" t="s">
        <v>167</v>
      </c>
      <c r="G39" s="377" t="s">
        <v>168</v>
      </c>
      <c r="H39" s="379"/>
      <c r="I39" s="379"/>
      <c r="J39" s="377" t="s">
        <v>169</v>
      </c>
      <c r="K39" s="377" t="s">
        <v>378</v>
      </c>
      <c r="L39" s="377" t="s">
        <v>202</v>
      </c>
      <c r="M39" s="377" t="s">
        <v>172</v>
      </c>
      <c r="N39" s="377" t="s">
        <v>173</v>
      </c>
      <c r="O39" s="380">
        <v>1</v>
      </c>
      <c r="P39" s="386">
        <v>0</v>
      </c>
      <c r="Q39" s="386">
        <v>0</v>
      </c>
      <c r="R39" s="381">
        <v>80</v>
      </c>
      <c r="S39" s="386">
        <v>0</v>
      </c>
      <c r="T39" s="381">
        <v>9775.5</v>
      </c>
      <c r="U39" s="381">
        <v>0</v>
      </c>
      <c r="V39" s="381">
        <v>5384.83</v>
      </c>
      <c r="W39" s="381">
        <v>0</v>
      </c>
      <c r="X39" s="381">
        <v>0</v>
      </c>
      <c r="Y39" s="381">
        <v>0</v>
      </c>
      <c r="Z39" s="381">
        <v>0</v>
      </c>
      <c r="AA39" s="377" t="s">
        <v>379</v>
      </c>
      <c r="AB39" s="377" t="s">
        <v>298</v>
      </c>
      <c r="AC39" s="377" t="s">
        <v>380</v>
      </c>
      <c r="AD39" s="377" t="s">
        <v>197</v>
      </c>
      <c r="AE39" s="377" t="s">
        <v>378</v>
      </c>
      <c r="AF39" s="377" t="s">
        <v>262</v>
      </c>
      <c r="AG39" s="377" t="s">
        <v>179</v>
      </c>
      <c r="AH39" s="382">
        <v>20.62</v>
      </c>
      <c r="AI39" s="382">
        <v>1760.6</v>
      </c>
      <c r="AJ39" s="377" t="s">
        <v>180</v>
      </c>
      <c r="AK39" s="377" t="s">
        <v>181</v>
      </c>
      <c r="AL39" s="377" t="s">
        <v>182</v>
      </c>
      <c r="AM39" s="377" t="s">
        <v>183</v>
      </c>
      <c r="AN39" s="377" t="s">
        <v>66</v>
      </c>
      <c r="AO39" s="380">
        <v>80</v>
      </c>
      <c r="AP39" s="386">
        <v>1</v>
      </c>
      <c r="AQ39" s="386">
        <v>0</v>
      </c>
      <c r="AR39" s="384" t="s">
        <v>184</v>
      </c>
      <c r="AS39" s="388">
        <f t="shared" si="27"/>
        <v>0</v>
      </c>
      <c r="AT39">
        <f t="shared" si="28"/>
        <v>0</v>
      </c>
      <c r="AU39" s="388" t="str">
        <f>IF(AT39=0,"",IF(AND(AT39=1,M39="F",SUMIF(C2:C112,C39,AS2:AS112)&lt;=1),SUMIF(C2:C112,C39,AS2:AS112),IF(AND(AT39=1,M39="F",SUMIF(C2:C112,C39,AS2:AS112)&gt;1),1,"")))</f>
        <v/>
      </c>
      <c r="AV39" s="388" t="str">
        <f>IF(AT39=0,"",IF(AND(AT39=3,M39="F",SUMIF(C2:C112,C39,AS2:AS112)&lt;=1),SUMIF(C2:C112,C39,AS2:AS112),IF(AND(AT39=3,M39="F",SUMIF(C2:C112,C39,AS2:AS112)&gt;1),1,"")))</f>
        <v/>
      </c>
      <c r="AW39" s="388">
        <f>SUMIF(C2:C112,C39,O2:O112)</f>
        <v>2</v>
      </c>
      <c r="AX39" s="388">
        <f>IF(AND(M39="F",AS39&lt;&gt;0),SUMIF(C2:C112,C39,W2:W112),0)</f>
        <v>0</v>
      </c>
      <c r="AY39" s="388" t="str">
        <f t="shared" si="29"/>
        <v/>
      </c>
      <c r="AZ39" s="388" t="str">
        <f t="shared" si="30"/>
        <v/>
      </c>
      <c r="BA39" s="388">
        <f t="shared" si="31"/>
        <v>0</v>
      </c>
      <c r="BB39" s="388">
        <f t="shared" si="44"/>
        <v>0</v>
      </c>
      <c r="BC39" s="388">
        <f t="shared" si="45"/>
        <v>0</v>
      </c>
      <c r="BD39" s="388">
        <f t="shared" si="46"/>
        <v>0</v>
      </c>
      <c r="BE39" s="388">
        <f t="shared" si="47"/>
        <v>0</v>
      </c>
      <c r="BF39" s="388">
        <f t="shared" si="48"/>
        <v>0</v>
      </c>
      <c r="BG39" s="388">
        <f t="shared" si="49"/>
        <v>0</v>
      </c>
      <c r="BH39" s="388">
        <f t="shared" si="50"/>
        <v>0</v>
      </c>
      <c r="BI39" s="388">
        <f t="shared" si="51"/>
        <v>0</v>
      </c>
      <c r="BJ39" s="388">
        <f t="shared" si="52"/>
        <v>0</v>
      </c>
      <c r="BK39" s="388">
        <f t="shared" si="53"/>
        <v>0</v>
      </c>
      <c r="BL39" s="388">
        <f t="shared" si="32"/>
        <v>0</v>
      </c>
      <c r="BM39" s="388">
        <f t="shared" si="33"/>
        <v>0</v>
      </c>
      <c r="BN39" s="388">
        <f t="shared" si="54"/>
        <v>0</v>
      </c>
      <c r="BO39" s="388">
        <f t="shared" si="55"/>
        <v>0</v>
      </c>
      <c r="BP39" s="388">
        <f t="shared" si="56"/>
        <v>0</v>
      </c>
      <c r="BQ39" s="388">
        <f t="shared" si="57"/>
        <v>0</v>
      </c>
      <c r="BR39" s="388">
        <f t="shared" si="58"/>
        <v>0</v>
      </c>
      <c r="BS39" s="388">
        <f t="shared" si="59"/>
        <v>0</v>
      </c>
      <c r="BT39" s="388">
        <f t="shared" si="60"/>
        <v>0</v>
      </c>
      <c r="BU39" s="388">
        <f t="shared" si="61"/>
        <v>0</v>
      </c>
      <c r="BV39" s="388">
        <f t="shared" si="62"/>
        <v>0</v>
      </c>
      <c r="BW39" s="388">
        <f t="shared" si="63"/>
        <v>0</v>
      </c>
      <c r="BX39" s="388">
        <f t="shared" si="34"/>
        <v>0</v>
      </c>
      <c r="BY39" s="388">
        <f t="shared" si="35"/>
        <v>0</v>
      </c>
      <c r="BZ39" s="388">
        <f t="shared" si="36"/>
        <v>0</v>
      </c>
      <c r="CA39" s="388">
        <f t="shared" si="37"/>
        <v>0</v>
      </c>
      <c r="CB39" s="388">
        <f t="shared" si="38"/>
        <v>0</v>
      </c>
      <c r="CC39" s="388">
        <f t="shared" si="64"/>
        <v>0</v>
      </c>
      <c r="CD39" s="388">
        <f t="shared" si="65"/>
        <v>0</v>
      </c>
      <c r="CE39" s="388">
        <f t="shared" si="66"/>
        <v>0</v>
      </c>
      <c r="CF39" s="388">
        <f t="shared" si="67"/>
        <v>0</v>
      </c>
      <c r="CG39" s="388">
        <f t="shared" si="68"/>
        <v>0</v>
      </c>
      <c r="CH39" s="388">
        <f t="shared" si="69"/>
        <v>0</v>
      </c>
      <c r="CI39" s="388">
        <f t="shared" si="70"/>
        <v>0</v>
      </c>
      <c r="CJ39" s="388">
        <f t="shared" si="39"/>
        <v>0</v>
      </c>
      <c r="CK39" s="388" t="str">
        <f t="shared" si="40"/>
        <v/>
      </c>
      <c r="CL39" s="388" t="str">
        <f t="shared" si="41"/>
        <v/>
      </c>
      <c r="CM39" s="388" t="str">
        <f t="shared" si="42"/>
        <v/>
      </c>
      <c r="CN39" s="388" t="str">
        <f t="shared" si="43"/>
        <v>0001-00</v>
      </c>
    </row>
    <row r="40" spans="1:92" ht="15.75" thickBot="1">
      <c r="A40" s="377" t="s">
        <v>162</v>
      </c>
      <c r="B40" s="377" t="s">
        <v>163</v>
      </c>
      <c r="C40" s="377" t="s">
        <v>381</v>
      </c>
      <c r="D40" s="377" t="s">
        <v>243</v>
      </c>
      <c r="E40" s="377" t="s">
        <v>166</v>
      </c>
      <c r="F40" s="378" t="s">
        <v>167</v>
      </c>
      <c r="G40" s="377" t="s">
        <v>168</v>
      </c>
      <c r="H40" s="379"/>
      <c r="I40" s="379"/>
      <c r="J40" s="377" t="s">
        <v>169</v>
      </c>
      <c r="K40" s="377" t="s">
        <v>244</v>
      </c>
      <c r="L40" s="377" t="s">
        <v>177</v>
      </c>
      <c r="M40" s="377" t="s">
        <v>189</v>
      </c>
      <c r="N40" s="377" t="s">
        <v>173</v>
      </c>
      <c r="O40" s="380">
        <v>0</v>
      </c>
      <c r="P40" s="386">
        <v>1</v>
      </c>
      <c r="Q40" s="386">
        <v>1</v>
      </c>
      <c r="R40" s="381">
        <v>80</v>
      </c>
      <c r="S40" s="386">
        <v>1</v>
      </c>
      <c r="T40" s="381">
        <v>34458.080000000002</v>
      </c>
      <c r="U40" s="381">
        <v>946.35</v>
      </c>
      <c r="V40" s="381">
        <v>17290.73</v>
      </c>
      <c r="W40" s="381">
        <v>48817.599999999999</v>
      </c>
      <c r="X40" s="381">
        <v>21967.919999999998</v>
      </c>
      <c r="Y40" s="381">
        <v>48817.599999999999</v>
      </c>
      <c r="Z40" s="381">
        <v>22749</v>
      </c>
      <c r="AA40" s="379"/>
      <c r="AB40" s="377" t="s">
        <v>45</v>
      </c>
      <c r="AC40" s="377" t="s">
        <v>45</v>
      </c>
      <c r="AD40" s="379"/>
      <c r="AE40" s="379"/>
      <c r="AF40" s="379"/>
      <c r="AG40" s="379"/>
      <c r="AH40" s="380">
        <v>0</v>
      </c>
      <c r="AI40" s="380">
        <v>0</v>
      </c>
      <c r="AJ40" s="379"/>
      <c r="AK40" s="379"/>
      <c r="AL40" s="377" t="s">
        <v>182</v>
      </c>
      <c r="AM40" s="379"/>
      <c r="AN40" s="379"/>
      <c r="AO40" s="380">
        <v>0</v>
      </c>
      <c r="AP40" s="386">
        <v>0</v>
      </c>
      <c r="AQ40" s="386">
        <v>0</v>
      </c>
      <c r="AR40" s="385"/>
      <c r="AS40" s="388">
        <f t="shared" si="27"/>
        <v>0</v>
      </c>
      <c r="AT40">
        <f t="shared" si="28"/>
        <v>0</v>
      </c>
      <c r="AU40" s="388" t="str">
        <f>IF(AT40=0,"",IF(AND(AT40=1,M40="F",SUMIF(C2:C112,C40,AS2:AS112)&lt;=1),SUMIF(C2:C112,C40,AS2:AS112),IF(AND(AT40=1,M40="F",SUMIF(C2:C112,C40,AS2:AS112)&gt;1),1,"")))</f>
        <v/>
      </c>
      <c r="AV40" s="388" t="str">
        <f>IF(AT40=0,"",IF(AND(AT40=3,M40="F",SUMIF(C2:C112,C40,AS2:AS112)&lt;=1),SUMIF(C2:C112,C40,AS2:AS112),IF(AND(AT40=3,M40="F",SUMIF(C2:C112,C40,AS2:AS112)&gt;1),1,"")))</f>
        <v/>
      </c>
      <c r="AW40" s="388">
        <f>SUMIF(C2:C112,C40,O2:O112)</f>
        <v>0</v>
      </c>
      <c r="AX40" s="388">
        <f>IF(AND(M40="F",AS40&lt;&gt;0),SUMIF(C2:C112,C40,W2:W112),0)</f>
        <v>0</v>
      </c>
      <c r="AY40" s="388" t="str">
        <f t="shared" si="29"/>
        <v/>
      </c>
      <c r="AZ40" s="388" t="str">
        <f t="shared" si="30"/>
        <v/>
      </c>
      <c r="BA40" s="388">
        <f t="shared" si="31"/>
        <v>0</v>
      </c>
      <c r="BB40" s="388">
        <f t="shared" si="44"/>
        <v>0</v>
      </c>
      <c r="BC40" s="388">
        <f t="shared" si="45"/>
        <v>0</v>
      </c>
      <c r="BD40" s="388">
        <f t="shared" si="46"/>
        <v>0</v>
      </c>
      <c r="BE40" s="388">
        <f t="shared" si="47"/>
        <v>0</v>
      </c>
      <c r="BF40" s="388">
        <f t="shared" si="48"/>
        <v>0</v>
      </c>
      <c r="BG40" s="388">
        <f t="shared" si="49"/>
        <v>0</v>
      </c>
      <c r="BH40" s="388">
        <f t="shared" si="50"/>
        <v>0</v>
      </c>
      <c r="BI40" s="388">
        <f t="shared" si="51"/>
        <v>0</v>
      </c>
      <c r="BJ40" s="388">
        <f t="shared" si="52"/>
        <v>0</v>
      </c>
      <c r="BK40" s="388">
        <f t="shared" si="53"/>
        <v>0</v>
      </c>
      <c r="BL40" s="388">
        <f t="shared" si="32"/>
        <v>0</v>
      </c>
      <c r="BM40" s="388">
        <f t="shared" si="33"/>
        <v>0</v>
      </c>
      <c r="BN40" s="388">
        <f t="shared" si="54"/>
        <v>0</v>
      </c>
      <c r="BO40" s="388">
        <f t="shared" si="55"/>
        <v>0</v>
      </c>
      <c r="BP40" s="388">
        <f t="shared" si="56"/>
        <v>0</v>
      </c>
      <c r="BQ40" s="388">
        <f t="shared" si="57"/>
        <v>0</v>
      </c>
      <c r="BR40" s="388">
        <f t="shared" si="58"/>
        <v>0</v>
      </c>
      <c r="BS40" s="388">
        <f t="shared" si="59"/>
        <v>0</v>
      </c>
      <c r="BT40" s="388">
        <f t="shared" si="60"/>
        <v>0</v>
      </c>
      <c r="BU40" s="388">
        <f t="shared" si="61"/>
        <v>0</v>
      </c>
      <c r="BV40" s="388">
        <f t="shared" si="62"/>
        <v>0</v>
      </c>
      <c r="BW40" s="388">
        <f t="shared" si="63"/>
        <v>0</v>
      </c>
      <c r="BX40" s="388">
        <f t="shared" si="34"/>
        <v>0</v>
      </c>
      <c r="BY40" s="388">
        <f t="shared" si="35"/>
        <v>0</v>
      </c>
      <c r="BZ40" s="388">
        <f t="shared" si="36"/>
        <v>0</v>
      </c>
      <c r="CA40" s="388">
        <f t="shared" si="37"/>
        <v>0</v>
      </c>
      <c r="CB40" s="388">
        <f t="shared" si="38"/>
        <v>0</v>
      </c>
      <c r="CC40" s="388">
        <f t="shared" si="64"/>
        <v>0</v>
      </c>
      <c r="CD40" s="388">
        <f t="shared" si="65"/>
        <v>0</v>
      </c>
      <c r="CE40" s="388">
        <f t="shared" si="66"/>
        <v>0</v>
      </c>
      <c r="CF40" s="388">
        <f t="shared" si="67"/>
        <v>0</v>
      </c>
      <c r="CG40" s="388">
        <f t="shared" si="68"/>
        <v>0</v>
      </c>
      <c r="CH40" s="388">
        <f t="shared" si="69"/>
        <v>0</v>
      </c>
      <c r="CI40" s="388">
        <f t="shared" si="70"/>
        <v>0</v>
      </c>
      <c r="CJ40" s="388">
        <f t="shared" si="39"/>
        <v>0</v>
      </c>
      <c r="CK40" s="388" t="str">
        <f t="shared" si="40"/>
        <v/>
      </c>
      <c r="CL40" s="388" t="str">
        <f t="shared" si="41"/>
        <v/>
      </c>
      <c r="CM40" s="388" t="str">
        <f t="shared" si="42"/>
        <v/>
      </c>
      <c r="CN40" s="388" t="str">
        <f t="shared" si="43"/>
        <v>0001-00</v>
      </c>
    </row>
    <row r="41" spans="1:92" ht="15.75" thickBot="1">
      <c r="A41" s="377" t="s">
        <v>162</v>
      </c>
      <c r="B41" s="377" t="s">
        <v>163</v>
      </c>
      <c r="C41" s="377" t="s">
        <v>382</v>
      </c>
      <c r="D41" s="377" t="s">
        <v>383</v>
      </c>
      <c r="E41" s="377" t="s">
        <v>166</v>
      </c>
      <c r="F41" s="378" t="s">
        <v>167</v>
      </c>
      <c r="G41" s="377" t="s">
        <v>168</v>
      </c>
      <c r="H41" s="379"/>
      <c r="I41" s="379"/>
      <c r="J41" s="377" t="s">
        <v>192</v>
      </c>
      <c r="K41" s="377" t="s">
        <v>384</v>
      </c>
      <c r="L41" s="377" t="s">
        <v>385</v>
      </c>
      <c r="M41" s="377" t="s">
        <v>172</v>
      </c>
      <c r="N41" s="377" t="s">
        <v>226</v>
      </c>
      <c r="O41" s="380">
        <v>1</v>
      </c>
      <c r="P41" s="386">
        <v>0.75</v>
      </c>
      <c r="Q41" s="386">
        <v>0.75</v>
      </c>
      <c r="R41" s="381">
        <v>80</v>
      </c>
      <c r="S41" s="386">
        <v>0.75</v>
      </c>
      <c r="T41" s="381">
        <v>37852.31</v>
      </c>
      <c r="U41" s="381">
        <v>0</v>
      </c>
      <c r="V41" s="381">
        <v>16494.41</v>
      </c>
      <c r="W41" s="381">
        <v>38688</v>
      </c>
      <c r="X41" s="381">
        <v>17526.919999999998</v>
      </c>
      <c r="Y41" s="381">
        <v>38688</v>
      </c>
      <c r="Z41" s="381">
        <v>18112.37</v>
      </c>
      <c r="AA41" s="377" t="s">
        <v>386</v>
      </c>
      <c r="AB41" s="377" t="s">
        <v>387</v>
      </c>
      <c r="AC41" s="377" t="s">
        <v>388</v>
      </c>
      <c r="AD41" s="377" t="s">
        <v>197</v>
      </c>
      <c r="AE41" s="377" t="s">
        <v>384</v>
      </c>
      <c r="AF41" s="377" t="s">
        <v>389</v>
      </c>
      <c r="AG41" s="377" t="s">
        <v>179</v>
      </c>
      <c r="AH41" s="382">
        <v>24.8</v>
      </c>
      <c r="AI41" s="380">
        <v>25821</v>
      </c>
      <c r="AJ41" s="377" t="s">
        <v>180</v>
      </c>
      <c r="AK41" s="377" t="s">
        <v>181</v>
      </c>
      <c r="AL41" s="377" t="s">
        <v>182</v>
      </c>
      <c r="AM41" s="377" t="s">
        <v>183</v>
      </c>
      <c r="AN41" s="377" t="s">
        <v>66</v>
      </c>
      <c r="AO41" s="380">
        <v>80</v>
      </c>
      <c r="AP41" s="386">
        <v>1</v>
      </c>
      <c r="AQ41" s="386">
        <v>0.75</v>
      </c>
      <c r="AR41" s="384" t="s">
        <v>184</v>
      </c>
      <c r="AS41" s="388">
        <f t="shared" si="27"/>
        <v>0.75</v>
      </c>
      <c r="AT41">
        <f t="shared" si="28"/>
        <v>1</v>
      </c>
      <c r="AU41" s="388">
        <f>IF(AT41=0,"",IF(AND(AT41=1,M41="F",SUMIF(C2:C112,C41,AS2:AS112)&lt;=1),SUMIF(C2:C112,C41,AS2:AS112),IF(AND(AT41=1,M41="F",SUMIF(C2:C112,C41,AS2:AS112)&gt;1),1,"")))</f>
        <v>1</v>
      </c>
      <c r="AV41" s="388" t="str">
        <f>IF(AT41=0,"",IF(AND(AT41=3,M41="F",SUMIF(C2:C112,C41,AS2:AS112)&lt;=1),SUMIF(C2:C112,C41,AS2:AS112),IF(AND(AT41=3,M41="F",SUMIF(C2:C112,C41,AS2:AS112)&gt;1),1,"")))</f>
        <v/>
      </c>
      <c r="AW41" s="388">
        <f>SUMIF(C2:C112,C41,O2:O112)</f>
        <v>2</v>
      </c>
      <c r="AX41" s="388">
        <f>IF(AND(M41="F",AS41&lt;&gt;0),SUMIF(C2:C112,C41,W2:W112),0)</f>
        <v>51584</v>
      </c>
      <c r="AY41" s="388">
        <f t="shared" si="29"/>
        <v>38688</v>
      </c>
      <c r="AZ41" s="388" t="str">
        <f t="shared" si="30"/>
        <v/>
      </c>
      <c r="BA41" s="388">
        <f t="shared" si="31"/>
        <v>0</v>
      </c>
      <c r="BB41" s="388">
        <f t="shared" si="44"/>
        <v>9375</v>
      </c>
      <c r="BC41" s="388">
        <f t="shared" si="45"/>
        <v>0</v>
      </c>
      <c r="BD41" s="388">
        <f t="shared" si="46"/>
        <v>2398.6559999999999</v>
      </c>
      <c r="BE41" s="388">
        <f t="shared" si="47"/>
        <v>560.976</v>
      </c>
      <c r="BF41" s="388">
        <f t="shared" si="48"/>
        <v>4619.3472000000002</v>
      </c>
      <c r="BG41" s="388">
        <f t="shared" si="49"/>
        <v>278.94048000000004</v>
      </c>
      <c r="BH41" s="388">
        <f t="shared" si="50"/>
        <v>0</v>
      </c>
      <c r="BI41" s="388">
        <f t="shared" si="51"/>
        <v>0</v>
      </c>
      <c r="BJ41" s="388">
        <f t="shared" si="52"/>
        <v>294.02879999999999</v>
      </c>
      <c r="BK41" s="388">
        <f t="shared" si="53"/>
        <v>0</v>
      </c>
      <c r="BL41" s="388">
        <f t="shared" si="32"/>
        <v>8151.94848</v>
      </c>
      <c r="BM41" s="388">
        <f t="shared" si="33"/>
        <v>0</v>
      </c>
      <c r="BN41" s="388">
        <f t="shared" si="54"/>
        <v>10312.5</v>
      </c>
      <c r="BO41" s="388">
        <f t="shared" si="55"/>
        <v>0</v>
      </c>
      <c r="BP41" s="388">
        <f t="shared" si="56"/>
        <v>2398.6559999999999</v>
      </c>
      <c r="BQ41" s="388">
        <f t="shared" si="57"/>
        <v>560.976</v>
      </c>
      <c r="BR41" s="388">
        <f t="shared" si="58"/>
        <v>4325.3184000000001</v>
      </c>
      <c r="BS41" s="388">
        <f t="shared" si="59"/>
        <v>278.94048000000004</v>
      </c>
      <c r="BT41" s="388">
        <f t="shared" si="60"/>
        <v>0</v>
      </c>
      <c r="BU41" s="388">
        <f t="shared" si="61"/>
        <v>0</v>
      </c>
      <c r="BV41" s="388">
        <f t="shared" si="62"/>
        <v>235.99680000000001</v>
      </c>
      <c r="BW41" s="388">
        <f t="shared" si="63"/>
        <v>0</v>
      </c>
      <c r="BX41" s="388">
        <f t="shared" si="34"/>
        <v>7799.8876799999998</v>
      </c>
      <c r="BY41" s="388">
        <f t="shared" si="35"/>
        <v>0</v>
      </c>
      <c r="BZ41" s="388">
        <f t="shared" si="36"/>
        <v>937.5</v>
      </c>
      <c r="CA41" s="388">
        <f t="shared" si="37"/>
        <v>0</v>
      </c>
      <c r="CB41" s="388">
        <f t="shared" si="38"/>
        <v>0</v>
      </c>
      <c r="CC41" s="388">
        <f t="shared" si="64"/>
        <v>0</v>
      </c>
      <c r="CD41" s="388">
        <f t="shared" si="65"/>
        <v>-294.02880000000039</v>
      </c>
      <c r="CE41" s="388">
        <f t="shared" si="66"/>
        <v>0</v>
      </c>
      <c r="CF41" s="388">
        <f t="shared" si="67"/>
        <v>0</v>
      </c>
      <c r="CG41" s="388">
        <f t="shared" si="68"/>
        <v>0</v>
      </c>
      <c r="CH41" s="388">
        <f t="shared" si="69"/>
        <v>-58.031999999999982</v>
      </c>
      <c r="CI41" s="388">
        <f t="shared" si="70"/>
        <v>0</v>
      </c>
      <c r="CJ41" s="388">
        <f t="shared" si="39"/>
        <v>-352.06080000000037</v>
      </c>
      <c r="CK41" s="388" t="str">
        <f t="shared" si="40"/>
        <v/>
      </c>
      <c r="CL41" s="388" t="str">
        <f t="shared" si="41"/>
        <v/>
      </c>
      <c r="CM41" s="388" t="str">
        <f t="shared" si="42"/>
        <v/>
      </c>
      <c r="CN41" s="388" t="str">
        <f t="shared" si="43"/>
        <v>0001-00</v>
      </c>
    </row>
    <row r="42" spans="1:92" ht="15.75" thickBot="1">
      <c r="A42" s="377" t="s">
        <v>162</v>
      </c>
      <c r="B42" s="377" t="s">
        <v>163</v>
      </c>
      <c r="C42" s="377" t="s">
        <v>390</v>
      </c>
      <c r="D42" s="377" t="s">
        <v>391</v>
      </c>
      <c r="E42" s="377" t="s">
        <v>166</v>
      </c>
      <c r="F42" s="378" t="s">
        <v>167</v>
      </c>
      <c r="G42" s="377" t="s">
        <v>168</v>
      </c>
      <c r="H42" s="379"/>
      <c r="I42" s="379"/>
      <c r="J42" s="377" t="s">
        <v>169</v>
      </c>
      <c r="K42" s="377" t="s">
        <v>392</v>
      </c>
      <c r="L42" s="377" t="s">
        <v>179</v>
      </c>
      <c r="M42" s="377" t="s">
        <v>172</v>
      </c>
      <c r="N42" s="377" t="s">
        <v>173</v>
      </c>
      <c r="O42" s="380">
        <v>1</v>
      </c>
      <c r="P42" s="386">
        <v>0</v>
      </c>
      <c r="Q42" s="386">
        <v>0</v>
      </c>
      <c r="R42" s="381">
        <v>80</v>
      </c>
      <c r="S42" s="386">
        <v>0</v>
      </c>
      <c r="T42" s="381">
        <v>6760.99</v>
      </c>
      <c r="U42" s="381">
        <v>10.5</v>
      </c>
      <c r="V42" s="381">
        <v>4332.49</v>
      </c>
      <c r="W42" s="381">
        <v>0</v>
      </c>
      <c r="X42" s="381">
        <v>0</v>
      </c>
      <c r="Y42" s="381">
        <v>0</v>
      </c>
      <c r="Z42" s="381">
        <v>0</v>
      </c>
      <c r="AA42" s="377" t="s">
        <v>393</v>
      </c>
      <c r="AB42" s="377" t="s">
        <v>394</v>
      </c>
      <c r="AC42" s="377" t="s">
        <v>395</v>
      </c>
      <c r="AD42" s="377" t="s">
        <v>396</v>
      </c>
      <c r="AE42" s="377" t="s">
        <v>392</v>
      </c>
      <c r="AF42" s="377" t="s">
        <v>210</v>
      </c>
      <c r="AG42" s="377" t="s">
        <v>179</v>
      </c>
      <c r="AH42" s="382">
        <v>20.309999999999999</v>
      </c>
      <c r="AI42" s="382">
        <v>3433.2</v>
      </c>
      <c r="AJ42" s="377" t="s">
        <v>180</v>
      </c>
      <c r="AK42" s="377" t="s">
        <v>181</v>
      </c>
      <c r="AL42" s="377" t="s">
        <v>182</v>
      </c>
      <c r="AM42" s="377" t="s">
        <v>183</v>
      </c>
      <c r="AN42" s="377" t="s">
        <v>66</v>
      </c>
      <c r="AO42" s="380">
        <v>80</v>
      </c>
      <c r="AP42" s="386">
        <v>1</v>
      </c>
      <c r="AQ42" s="386">
        <v>0</v>
      </c>
      <c r="AR42" s="384" t="s">
        <v>184</v>
      </c>
      <c r="AS42" s="388">
        <f t="shared" si="27"/>
        <v>0</v>
      </c>
      <c r="AT42">
        <f t="shared" si="28"/>
        <v>0</v>
      </c>
      <c r="AU42" s="388" t="str">
        <f>IF(AT42=0,"",IF(AND(AT42=1,M42="F",SUMIF(C2:C112,C42,AS2:AS112)&lt;=1),SUMIF(C2:C112,C42,AS2:AS112),IF(AND(AT42=1,M42="F",SUMIF(C2:C112,C42,AS2:AS112)&gt;1),1,"")))</f>
        <v/>
      </c>
      <c r="AV42" s="388" t="str">
        <f>IF(AT42=0,"",IF(AND(AT42=3,M42="F",SUMIF(C2:C112,C42,AS2:AS112)&lt;=1),SUMIF(C2:C112,C42,AS2:AS112),IF(AND(AT42=3,M42="F",SUMIF(C2:C112,C42,AS2:AS112)&gt;1),1,"")))</f>
        <v/>
      </c>
      <c r="AW42" s="388">
        <f>SUMIF(C2:C112,C42,O2:O112)</f>
        <v>2</v>
      </c>
      <c r="AX42" s="388">
        <f>IF(AND(M42="F",AS42&lt;&gt;0),SUMIF(C2:C112,C42,W2:W112),0)</f>
        <v>0</v>
      </c>
      <c r="AY42" s="388" t="str">
        <f t="shared" si="29"/>
        <v/>
      </c>
      <c r="AZ42" s="388" t="str">
        <f t="shared" si="30"/>
        <v/>
      </c>
      <c r="BA42" s="388">
        <f t="shared" si="31"/>
        <v>0</v>
      </c>
      <c r="BB42" s="388">
        <f t="shared" si="44"/>
        <v>0</v>
      </c>
      <c r="BC42" s="388">
        <f t="shared" si="45"/>
        <v>0</v>
      </c>
      <c r="BD42" s="388">
        <f t="shared" si="46"/>
        <v>0</v>
      </c>
      <c r="BE42" s="388">
        <f t="shared" si="47"/>
        <v>0</v>
      </c>
      <c r="BF42" s="388">
        <f t="shared" si="48"/>
        <v>0</v>
      </c>
      <c r="BG42" s="388">
        <f t="shared" si="49"/>
        <v>0</v>
      </c>
      <c r="BH42" s="388">
        <f t="shared" si="50"/>
        <v>0</v>
      </c>
      <c r="BI42" s="388">
        <f t="shared" si="51"/>
        <v>0</v>
      </c>
      <c r="BJ42" s="388">
        <f t="shared" si="52"/>
        <v>0</v>
      </c>
      <c r="BK42" s="388">
        <f t="shared" si="53"/>
        <v>0</v>
      </c>
      <c r="BL42" s="388">
        <f t="shared" si="32"/>
        <v>0</v>
      </c>
      <c r="BM42" s="388">
        <f t="shared" si="33"/>
        <v>0</v>
      </c>
      <c r="BN42" s="388">
        <f t="shared" si="54"/>
        <v>0</v>
      </c>
      <c r="BO42" s="388">
        <f t="shared" si="55"/>
        <v>0</v>
      </c>
      <c r="BP42" s="388">
        <f t="shared" si="56"/>
        <v>0</v>
      </c>
      <c r="BQ42" s="388">
        <f t="shared" si="57"/>
        <v>0</v>
      </c>
      <c r="BR42" s="388">
        <f t="shared" si="58"/>
        <v>0</v>
      </c>
      <c r="BS42" s="388">
        <f t="shared" si="59"/>
        <v>0</v>
      </c>
      <c r="BT42" s="388">
        <f t="shared" si="60"/>
        <v>0</v>
      </c>
      <c r="BU42" s="388">
        <f t="shared" si="61"/>
        <v>0</v>
      </c>
      <c r="BV42" s="388">
        <f t="shared" si="62"/>
        <v>0</v>
      </c>
      <c r="BW42" s="388">
        <f t="shared" si="63"/>
        <v>0</v>
      </c>
      <c r="BX42" s="388">
        <f t="shared" si="34"/>
        <v>0</v>
      </c>
      <c r="BY42" s="388">
        <f t="shared" si="35"/>
        <v>0</v>
      </c>
      <c r="BZ42" s="388">
        <f t="shared" si="36"/>
        <v>0</v>
      </c>
      <c r="CA42" s="388">
        <f t="shared" si="37"/>
        <v>0</v>
      </c>
      <c r="CB42" s="388">
        <f t="shared" si="38"/>
        <v>0</v>
      </c>
      <c r="CC42" s="388">
        <f t="shared" si="64"/>
        <v>0</v>
      </c>
      <c r="CD42" s="388">
        <f t="shared" si="65"/>
        <v>0</v>
      </c>
      <c r="CE42" s="388">
        <f t="shared" si="66"/>
        <v>0</v>
      </c>
      <c r="CF42" s="388">
        <f t="shared" si="67"/>
        <v>0</v>
      </c>
      <c r="CG42" s="388">
        <f t="shared" si="68"/>
        <v>0</v>
      </c>
      <c r="CH42" s="388">
        <f t="shared" si="69"/>
        <v>0</v>
      </c>
      <c r="CI42" s="388">
        <f t="shared" si="70"/>
        <v>0</v>
      </c>
      <c r="CJ42" s="388">
        <f t="shared" si="39"/>
        <v>0</v>
      </c>
      <c r="CK42" s="388" t="str">
        <f t="shared" si="40"/>
        <v/>
      </c>
      <c r="CL42" s="388" t="str">
        <f t="shared" si="41"/>
        <v/>
      </c>
      <c r="CM42" s="388" t="str">
        <f t="shared" si="42"/>
        <v/>
      </c>
      <c r="CN42" s="388" t="str">
        <f t="shared" si="43"/>
        <v>0001-00</v>
      </c>
    </row>
    <row r="43" spans="1:92" ht="15.75" thickBot="1">
      <c r="A43" s="377" t="s">
        <v>162</v>
      </c>
      <c r="B43" s="377" t="s">
        <v>163</v>
      </c>
      <c r="C43" s="377" t="s">
        <v>397</v>
      </c>
      <c r="D43" s="377" t="s">
        <v>398</v>
      </c>
      <c r="E43" s="377" t="s">
        <v>166</v>
      </c>
      <c r="F43" s="378" t="s">
        <v>167</v>
      </c>
      <c r="G43" s="377" t="s">
        <v>168</v>
      </c>
      <c r="H43" s="379"/>
      <c r="I43" s="379"/>
      <c r="J43" s="377" t="s">
        <v>169</v>
      </c>
      <c r="K43" s="377" t="s">
        <v>399</v>
      </c>
      <c r="L43" s="377" t="s">
        <v>385</v>
      </c>
      <c r="M43" s="377" t="s">
        <v>221</v>
      </c>
      <c r="N43" s="377" t="s">
        <v>173</v>
      </c>
      <c r="O43" s="380">
        <v>0</v>
      </c>
      <c r="P43" s="386">
        <v>0</v>
      </c>
      <c r="Q43" s="386">
        <v>0</v>
      </c>
      <c r="R43" s="381">
        <v>80</v>
      </c>
      <c r="S43" s="386">
        <v>0</v>
      </c>
      <c r="T43" s="381">
        <v>1958.33</v>
      </c>
      <c r="U43" s="381">
        <v>0</v>
      </c>
      <c r="V43" s="381">
        <v>323.22000000000003</v>
      </c>
      <c r="W43" s="381">
        <v>0</v>
      </c>
      <c r="X43" s="381">
        <v>0</v>
      </c>
      <c r="Y43" s="381">
        <v>0</v>
      </c>
      <c r="Z43" s="381">
        <v>0</v>
      </c>
      <c r="AA43" s="379"/>
      <c r="AB43" s="377" t="s">
        <v>45</v>
      </c>
      <c r="AC43" s="377" t="s">
        <v>45</v>
      </c>
      <c r="AD43" s="379"/>
      <c r="AE43" s="379"/>
      <c r="AF43" s="379"/>
      <c r="AG43" s="379"/>
      <c r="AH43" s="380">
        <v>0</v>
      </c>
      <c r="AI43" s="380">
        <v>0</v>
      </c>
      <c r="AJ43" s="379"/>
      <c r="AK43" s="379"/>
      <c r="AL43" s="377" t="s">
        <v>182</v>
      </c>
      <c r="AM43" s="379"/>
      <c r="AN43" s="379"/>
      <c r="AO43" s="380">
        <v>0</v>
      </c>
      <c r="AP43" s="386">
        <v>0</v>
      </c>
      <c r="AQ43" s="386">
        <v>0</v>
      </c>
      <c r="AR43" s="385"/>
      <c r="AS43" s="388">
        <f t="shared" si="27"/>
        <v>0</v>
      </c>
      <c r="AT43">
        <f t="shared" si="28"/>
        <v>0</v>
      </c>
      <c r="AU43" s="388" t="str">
        <f>IF(AT43=0,"",IF(AND(AT43=1,M43="F",SUMIF(C2:C112,C43,AS2:AS112)&lt;=1),SUMIF(C2:C112,C43,AS2:AS112),IF(AND(AT43=1,M43="F",SUMIF(C2:C112,C43,AS2:AS112)&gt;1),1,"")))</f>
        <v/>
      </c>
      <c r="AV43" s="388" t="str">
        <f>IF(AT43=0,"",IF(AND(AT43=3,M43="F",SUMIF(C2:C112,C43,AS2:AS112)&lt;=1),SUMIF(C2:C112,C43,AS2:AS112),IF(AND(AT43=3,M43="F",SUMIF(C2:C112,C43,AS2:AS112)&gt;1),1,"")))</f>
        <v/>
      </c>
      <c r="AW43" s="388">
        <f>SUMIF(C2:C112,C43,O2:O112)</f>
        <v>0</v>
      </c>
      <c r="AX43" s="388">
        <f>IF(AND(M43="F",AS43&lt;&gt;0),SUMIF(C2:C112,C43,W2:W112),0)</f>
        <v>0</v>
      </c>
      <c r="AY43" s="388" t="str">
        <f t="shared" si="29"/>
        <v/>
      </c>
      <c r="AZ43" s="388" t="str">
        <f t="shared" si="30"/>
        <v/>
      </c>
      <c r="BA43" s="388">
        <f t="shared" si="31"/>
        <v>0</v>
      </c>
      <c r="BB43" s="388">
        <f t="shared" si="44"/>
        <v>0</v>
      </c>
      <c r="BC43" s="388">
        <f t="shared" si="45"/>
        <v>0</v>
      </c>
      <c r="BD43" s="388">
        <f t="shared" si="46"/>
        <v>0</v>
      </c>
      <c r="BE43" s="388">
        <f t="shared" si="47"/>
        <v>0</v>
      </c>
      <c r="BF43" s="388">
        <f t="shared" si="48"/>
        <v>0</v>
      </c>
      <c r="BG43" s="388">
        <f t="shared" si="49"/>
        <v>0</v>
      </c>
      <c r="BH43" s="388">
        <f t="shared" si="50"/>
        <v>0</v>
      </c>
      <c r="BI43" s="388">
        <f t="shared" si="51"/>
        <v>0</v>
      </c>
      <c r="BJ43" s="388">
        <f t="shared" si="52"/>
        <v>0</v>
      </c>
      <c r="BK43" s="388">
        <f t="shared" si="53"/>
        <v>0</v>
      </c>
      <c r="BL43" s="388">
        <f t="shared" si="32"/>
        <v>0</v>
      </c>
      <c r="BM43" s="388">
        <f t="shared" si="33"/>
        <v>0</v>
      </c>
      <c r="BN43" s="388">
        <f t="shared" si="54"/>
        <v>0</v>
      </c>
      <c r="BO43" s="388">
        <f t="shared" si="55"/>
        <v>0</v>
      </c>
      <c r="BP43" s="388">
        <f t="shared" si="56"/>
        <v>0</v>
      </c>
      <c r="BQ43" s="388">
        <f t="shared" si="57"/>
        <v>0</v>
      </c>
      <c r="BR43" s="388">
        <f t="shared" si="58"/>
        <v>0</v>
      </c>
      <c r="BS43" s="388">
        <f t="shared" si="59"/>
        <v>0</v>
      </c>
      <c r="BT43" s="388">
        <f t="shared" si="60"/>
        <v>0</v>
      </c>
      <c r="BU43" s="388">
        <f t="shared" si="61"/>
        <v>0</v>
      </c>
      <c r="BV43" s="388">
        <f t="shared" si="62"/>
        <v>0</v>
      </c>
      <c r="BW43" s="388">
        <f t="shared" si="63"/>
        <v>0</v>
      </c>
      <c r="BX43" s="388">
        <f t="shared" si="34"/>
        <v>0</v>
      </c>
      <c r="BY43" s="388">
        <f t="shared" si="35"/>
        <v>0</v>
      </c>
      <c r="BZ43" s="388">
        <f t="shared" si="36"/>
        <v>0</v>
      </c>
      <c r="CA43" s="388">
        <f t="shared" si="37"/>
        <v>0</v>
      </c>
      <c r="CB43" s="388">
        <f t="shared" si="38"/>
        <v>0</v>
      </c>
      <c r="CC43" s="388">
        <f t="shared" si="64"/>
        <v>0</v>
      </c>
      <c r="CD43" s="388">
        <f t="shared" si="65"/>
        <v>0</v>
      </c>
      <c r="CE43" s="388">
        <f t="shared" si="66"/>
        <v>0</v>
      </c>
      <c r="CF43" s="388">
        <f t="shared" si="67"/>
        <v>0</v>
      </c>
      <c r="CG43" s="388">
        <f t="shared" si="68"/>
        <v>0</v>
      </c>
      <c r="CH43" s="388">
        <f t="shared" si="69"/>
        <v>0</v>
      </c>
      <c r="CI43" s="388">
        <f t="shared" si="70"/>
        <v>0</v>
      </c>
      <c r="CJ43" s="388">
        <f t="shared" si="39"/>
        <v>0</v>
      </c>
      <c r="CK43" s="388" t="str">
        <f t="shared" si="40"/>
        <v/>
      </c>
      <c r="CL43" s="388" t="str">
        <f t="shared" si="41"/>
        <v/>
      </c>
      <c r="CM43" s="388" t="str">
        <f t="shared" si="42"/>
        <v/>
      </c>
      <c r="CN43" s="388" t="str">
        <f t="shared" si="43"/>
        <v>0001-00</v>
      </c>
    </row>
    <row r="44" spans="1:92" ht="15.75" thickBot="1">
      <c r="A44" s="377" t="s">
        <v>162</v>
      </c>
      <c r="B44" s="377" t="s">
        <v>163</v>
      </c>
      <c r="C44" s="377" t="s">
        <v>400</v>
      </c>
      <c r="D44" s="377" t="s">
        <v>401</v>
      </c>
      <c r="E44" s="377" t="s">
        <v>166</v>
      </c>
      <c r="F44" s="378" t="s">
        <v>167</v>
      </c>
      <c r="G44" s="377" t="s">
        <v>168</v>
      </c>
      <c r="H44" s="379"/>
      <c r="I44" s="379"/>
      <c r="J44" s="377" t="s">
        <v>169</v>
      </c>
      <c r="K44" s="377" t="s">
        <v>402</v>
      </c>
      <c r="L44" s="377" t="s">
        <v>179</v>
      </c>
      <c r="M44" s="377" t="s">
        <v>172</v>
      </c>
      <c r="N44" s="377" t="s">
        <v>173</v>
      </c>
      <c r="O44" s="380">
        <v>1</v>
      </c>
      <c r="P44" s="386">
        <v>1</v>
      </c>
      <c r="Q44" s="386">
        <v>1</v>
      </c>
      <c r="R44" s="381">
        <v>80</v>
      </c>
      <c r="S44" s="386">
        <v>1</v>
      </c>
      <c r="T44" s="381">
        <v>28851.06</v>
      </c>
      <c r="U44" s="381">
        <v>0</v>
      </c>
      <c r="V44" s="381">
        <v>17980.34</v>
      </c>
      <c r="W44" s="381">
        <v>37544</v>
      </c>
      <c r="X44" s="381">
        <v>20618.86</v>
      </c>
      <c r="Y44" s="381">
        <v>37544</v>
      </c>
      <c r="Z44" s="381">
        <v>21527.200000000001</v>
      </c>
      <c r="AA44" s="377" t="s">
        <v>403</v>
      </c>
      <c r="AB44" s="377" t="s">
        <v>404</v>
      </c>
      <c r="AC44" s="377" t="s">
        <v>405</v>
      </c>
      <c r="AD44" s="377" t="s">
        <v>177</v>
      </c>
      <c r="AE44" s="377" t="s">
        <v>402</v>
      </c>
      <c r="AF44" s="377" t="s">
        <v>210</v>
      </c>
      <c r="AG44" s="377" t="s">
        <v>179</v>
      </c>
      <c r="AH44" s="382">
        <v>18.05</v>
      </c>
      <c r="AI44" s="380">
        <v>11064</v>
      </c>
      <c r="AJ44" s="377" t="s">
        <v>180</v>
      </c>
      <c r="AK44" s="377" t="s">
        <v>181</v>
      </c>
      <c r="AL44" s="377" t="s">
        <v>182</v>
      </c>
      <c r="AM44" s="377" t="s">
        <v>183</v>
      </c>
      <c r="AN44" s="377" t="s">
        <v>66</v>
      </c>
      <c r="AO44" s="380">
        <v>80</v>
      </c>
      <c r="AP44" s="386">
        <v>1</v>
      </c>
      <c r="AQ44" s="386">
        <v>1</v>
      </c>
      <c r="AR44" s="384" t="s">
        <v>184</v>
      </c>
      <c r="AS44" s="388">
        <f t="shared" si="27"/>
        <v>1</v>
      </c>
      <c r="AT44">
        <f t="shared" si="28"/>
        <v>1</v>
      </c>
      <c r="AU44" s="388">
        <f>IF(AT44=0,"",IF(AND(AT44=1,M44="F",SUMIF(C2:C112,C44,AS2:AS112)&lt;=1),SUMIF(C2:C112,C44,AS2:AS112),IF(AND(AT44=1,M44="F",SUMIF(C2:C112,C44,AS2:AS112)&gt;1),1,"")))</f>
        <v>1</v>
      </c>
      <c r="AV44" s="388" t="str">
        <f>IF(AT44=0,"",IF(AND(AT44=3,M44="F",SUMIF(C2:C112,C44,AS2:AS112)&lt;=1),SUMIF(C2:C112,C44,AS2:AS112),IF(AND(AT44=3,M44="F",SUMIF(C2:C112,C44,AS2:AS112)&gt;1),1,"")))</f>
        <v/>
      </c>
      <c r="AW44" s="388">
        <f>SUMIF(C2:C112,C44,O2:O112)</f>
        <v>1</v>
      </c>
      <c r="AX44" s="388">
        <f>IF(AND(M44="F",AS44&lt;&gt;0),SUMIF(C2:C112,C44,W2:W112),0)</f>
        <v>37544</v>
      </c>
      <c r="AY44" s="388">
        <f t="shared" si="29"/>
        <v>37544</v>
      </c>
      <c r="AZ44" s="388" t="str">
        <f t="shared" si="30"/>
        <v/>
      </c>
      <c r="BA44" s="388">
        <f t="shared" si="31"/>
        <v>0</v>
      </c>
      <c r="BB44" s="388">
        <f t="shared" si="44"/>
        <v>12500</v>
      </c>
      <c r="BC44" s="388">
        <f t="shared" si="45"/>
        <v>0</v>
      </c>
      <c r="BD44" s="388">
        <f t="shared" si="46"/>
        <v>2327.7280000000001</v>
      </c>
      <c r="BE44" s="388">
        <f t="shared" si="47"/>
        <v>544.38800000000003</v>
      </c>
      <c r="BF44" s="388">
        <f t="shared" si="48"/>
        <v>4482.7536</v>
      </c>
      <c r="BG44" s="388">
        <f t="shared" si="49"/>
        <v>270.69224000000003</v>
      </c>
      <c r="BH44" s="388">
        <f t="shared" si="50"/>
        <v>0</v>
      </c>
      <c r="BI44" s="388">
        <f t="shared" si="51"/>
        <v>207.80604</v>
      </c>
      <c r="BJ44" s="388">
        <f t="shared" si="52"/>
        <v>285.33440000000002</v>
      </c>
      <c r="BK44" s="388">
        <f t="shared" si="53"/>
        <v>0</v>
      </c>
      <c r="BL44" s="388">
        <f t="shared" si="32"/>
        <v>8118.7022800000004</v>
      </c>
      <c r="BM44" s="388">
        <f t="shared" si="33"/>
        <v>0</v>
      </c>
      <c r="BN44" s="388">
        <f t="shared" si="54"/>
        <v>13750</v>
      </c>
      <c r="BO44" s="388">
        <f t="shared" si="55"/>
        <v>0</v>
      </c>
      <c r="BP44" s="388">
        <f t="shared" si="56"/>
        <v>2327.7280000000001</v>
      </c>
      <c r="BQ44" s="388">
        <f t="shared" si="57"/>
        <v>544.38800000000003</v>
      </c>
      <c r="BR44" s="388">
        <f t="shared" si="58"/>
        <v>4197.4192000000003</v>
      </c>
      <c r="BS44" s="388">
        <f t="shared" si="59"/>
        <v>270.69224000000003</v>
      </c>
      <c r="BT44" s="388">
        <f t="shared" si="60"/>
        <v>0</v>
      </c>
      <c r="BU44" s="388">
        <f t="shared" si="61"/>
        <v>207.80604</v>
      </c>
      <c r="BV44" s="388">
        <f t="shared" si="62"/>
        <v>229.01840000000001</v>
      </c>
      <c r="BW44" s="388">
        <f t="shared" si="63"/>
        <v>0</v>
      </c>
      <c r="BX44" s="388">
        <f t="shared" si="34"/>
        <v>7777.0518800000009</v>
      </c>
      <c r="BY44" s="388">
        <f t="shared" si="35"/>
        <v>0</v>
      </c>
      <c r="BZ44" s="388">
        <f t="shared" si="36"/>
        <v>1250</v>
      </c>
      <c r="CA44" s="388">
        <f t="shared" si="37"/>
        <v>0</v>
      </c>
      <c r="CB44" s="388">
        <f t="shared" si="38"/>
        <v>0</v>
      </c>
      <c r="CC44" s="388">
        <f t="shared" si="64"/>
        <v>0</v>
      </c>
      <c r="CD44" s="388">
        <f t="shared" si="65"/>
        <v>-285.33440000000036</v>
      </c>
      <c r="CE44" s="388">
        <f t="shared" si="66"/>
        <v>0</v>
      </c>
      <c r="CF44" s="388">
        <f t="shared" si="67"/>
        <v>0</v>
      </c>
      <c r="CG44" s="388">
        <f t="shared" si="68"/>
        <v>0</v>
      </c>
      <c r="CH44" s="388">
        <f t="shared" si="69"/>
        <v>-56.315999999999988</v>
      </c>
      <c r="CI44" s="388">
        <f t="shared" si="70"/>
        <v>0</v>
      </c>
      <c r="CJ44" s="388">
        <f t="shared" si="39"/>
        <v>-341.65040000000033</v>
      </c>
      <c r="CK44" s="388" t="str">
        <f t="shared" si="40"/>
        <v/>
      </c>
      <c r="CL44" s="388" t="str">
        <f t="shared" si="41"/>
        <v/>
      </c>
      <c r="CM44" s="388" t="str">
        <f t="shared" si="42"/>
        <v/>
      </c>
      <c r="CN44" s="388" t="str">
        <f t="shared" si="43"/>
        <v>0001-00</v>
      </c>
    </row>
    <row r="45" spans="1:92" ht="15.75" thickBot="1">
      <c r="A45" s="377" t="s">
        <v>162</v>
      </c>
      <c r="B45" s="377" t="s">
        <v>163</v>
      </c>
      <c r="C45" s="377" t="s">
        <v>406</v>
      </c>
      <c r="D45" s="377" t="s">
        <v>407</v>
      </c>
      <c r="E45" s="377" t="s">
        <v>166</v>
      </c>
      <c r="F45" s="378" t="s">
        <v>167</v>
      </c>
      <c r="G45" s="377" t="s">
        <v>168</v>
      </c>
      <c r="H45" s="379"/>
      <c r="I45" s="379"/>
      <c r="J45" s="377" t="s">
        <v>169</v>
      </c>
      <c r="K45" s="377" t="s">
        <v>408</v>
      </c>
      <c r="L45" s="377" t="s">
        <v>385</v>
      </c>
      <c r="M45" s="377" t="s">
        <v>189</v>
      </c>
      <c r="N45" s="377" t="s">
        <v>173</v>
      </c>
      <c r="O45" s="380">
        <v>0</v>
      </c>
      <c r="P45" s="386">
        <v>1</v>
      </c>
      <c r="Q45" s="386">
        <v>1</v>
      </c>
      <c r="R45" s="381">
        <v>80</v>
      </c>
      <c r="S45" s="386">
        <v>1</v>
      </c>
      <c r="T45" s="381">
        <v>40978.31</v>
      </c>
      <c r="U45" s="381">
        <v>630.53</v>
      </c>
      <c r="V45" s="381">
        <v>18868.650000000001</v>
      </c>
      <c r="W45" s="381">
        <v>43596.800000000003</v>
      </c>
      <c r="X45" s="381">
        <v>19618.560000000001</v>
      </c>
      <c r="Y45" s="381">
        <v>43596.800000000003</v>
      </c>
      <c r="Z45" s="381">
        <v>20316.099999999999</v>
      </c>
      <c r="AA45" s="379"/>
      <c r="AB45" s="377" t="s">
        <v>45</v>
      </c>
      <c r="AC45" s="377" t="s">
        <v>45</v>
      </c>
      <c r="AD45" s="379"/>
      <c r="AE45" s="379"/>
      <c r="AF45" s="379"/>
      <c r="AG45" s="379"/>
      <c r="AH45" s="380">
        <v>0</v>
      </c>
      <c r="AI45" s="380">
        <v>0</v>
      </c>
      <c r="AJ45" s="379"/>
      <c r="AK45" s="379"/>
      <c r="AL45" s="377" t="s">
        <v>182</v>
      </c>
      <c r="AM45" s="379"/>
      <c r="AN45" s="379"/>
      <c r="AO45" s="380">
        <v>0</v>
      </c>
      <c r="AP45" s="386">
        <v>0</v>
      </c>
      <c r="AQ45" s="386">
        <v>0</v>
      </c>
      <c r="AR45" s="385"/>
      <c r="AS45" s="388">
        <f t="shared" si="27"/>
        <v>0</v>
      </c>
      <c r="AT45">
        <f t="shared" si="28"/>
        <v>0</v>
      </c>
      <c r="AU45" s="388" t="str">
        <f>IF(AT45=0,"",IF(AND(AT45=1,M45="F",SUMIF(C2:C112,C45,AS2:AS112)&lt;=1),SUMIF(C2:C112,C45,AS2:AS112),IF(AND(AT45=1,M45="F",SUMIF(C2:C112,C45,AS2:AS112)&gt;1),1,"")))</f>
        <v/>
      </c>
      <c r="AV45" s="388" t="str">
        <f>IF(AT45=0,"",IF(AND(AT45=3,M45="F",SUMIF(C2:C112,C45,AS2:AS112)&lt;=1),SUMIF(C2:C112,C45,AS2:AS112),IF(AND(AT45=3,M45="F",SUMIF(C2:C112,C45,AS2:AS112)&gt;1),1,"")))</f>
        <v/>
      </c>
      <c r="AW45" s="388">
        <f>SUMIF(C2:C112,C45,O2:O112)</f>
        <v>0</v>
      </c>
      <c r="AX45" s="388">
        <f>IF(AND(M45="F",AS45&lt;&gt;0),SUMIF(C2:C112,C45,W2:W112),0)</f>
        <v>0</v>
      </c>
      <c r="AY45" s="388" t="str">
        <f t="shared" si="29"/>
        <v/>
      </c>
      <c r="AZ45" s="388" t="str">
        <f t="shared" si="30"/>
        <v/>
      </c>
      <c r="BA45" s="388">
        <f t="shared" si="31"/>
        <v>0</v>
      </c>
      <c r="BB45" s="388">
        <f t="shared" si="44"/>
        <v>0</v>
      </c>
      <c r="BC45" s="388">
        <f t="shared" si="45"/>
        <v>0</v>
      </c>
      <c r="BD45" s="388">
        <f t="shared" si="46"/>
        <v>0</v>
      </c>
      <c r="BE45" s="388">
        <f t="shared" si="47"/>
        <v>0</v>
      </c>
      <c r="BF45" s="388">
        <f t="shared" si="48"/>
        <v>0</v>
      </c>
      <c r="BG45" s="388">
        <f t="shared" si="49"/>
        <v>0</v>
      </c>
      <c r="BH45" s="388">
        <f t="shared" si="50"/>
        <v>0</v>
      </c>
      <c r="BI45" s="388">
        <f t="shared" si="51"/>
        <v>0</v>
      </c>
      <c r="BJ45" s="388">
        <f t="shared" si="52"/>
        <v>0</v>
      </c>
      <c r="BK45" s="388">
        <f t="shared" si="53"/>
        <v>0</v>
      </c>
      <c r="BL45" s="388">
        <f t="shared" si="32"/>
        <v>0</v>
      </c>
      <c r="BM45" s="388">
        <f t="shared" si="33"/>
        <v>0</v>
      </c>
      <c r="BN45" s="388">
        <f t="shared" si="54"/>
        <v>0</v>
      </c>
      <c r="BO45" s="388">
        <f t="shared" si="55"/>
        <v>0</v>
      </c>
      <c r="BP45" s="388">
        <f t="shared" si="56"/>
        <v>0</v>
      </c>
      <c r="BQ45" s="388">
        <f t="shared" si="57"/>
        <v>0</v>
      </c>
      <c r="BR45" s="388">
        <f t="shared" si="58"/>
        <v>0</v>
      </c>
      <c r="BS45" s="388">
        <f t="shared" si="59"/>
        <v>0</v>
      </c>
      <c r="BT45" s="388">
        <f t="shared" si="60"/>
        <v>0</v>
      </c>
      <c r="BU45" s="388">
        <f t="shared" si="61"/>
        <v>0</v>
      </c>
      <c r="BV45" s="388">
        <f t="shared" si="62"/>
        <v>0</v>
      </c>
      <c r="BW45" s="388">
        <f t="shared" si="63"/>
        <v>0</v>
      </c>
      <c r="BX45" s="388">
        <f t="shared" si="34"/>
        <v>0</v>
      </c>
      <c r="BY45" s="388">
        <f t="shared" si="35"/>
        <v>0</v>
      </c>
      <c r="BZ45" s="388">
        <f t="shared" si="36"/>
        <v>0</v>
      </c>
      <c r="CA45" s="388">
        <f t="shared" si="37"/>
        <v>0</v>
      </c>
      <c r="CB45" s="388">
        <f t="shared" si="38"/>
        <v>0</v>
      </c>
      <c r="CC45" s="388">
        <f t="shared" si="64"/>
        <v>0</v>
      </c>
      <c r="CD45" s="388">
        <f t="shared" si="65"/>
        <v>0</v>
      </c>
      <c r="CE45" s="388">
        <f t="shared" si="66"/>
        <v>0</v>
      </c>
      <c r="CF45" s="388">
        <f t="shared" si="67"/>
        <v>0</v>
      </c>
      <c r="CG45" s="388">
        <f t="shared" si="68"/>
        <v>0</v>
      </c>
      <c r="CH45" s="388">
        <f t="shared" si="69"/>
        <v>0</v>
      </c>
      <c r="CI45" s="388">
        <f t="shared" si="70"/>
        <v>0</v>
      </c>
      <c r="CJ45" s="388">
        <f t="shared" si="39"/>
        <v>0</v>
      </c>
      <c r="CK45" s="388" t="str">
        <f t="shared" si="40"/>
        <v/>
      </c>
      <c r="CL45" s="388" t="str">
        <f t="shared" si="41"/>
        <v/>
      </c>
      <c r="CM45" s="388" t="str">
        <f t="shared" si="42"/>
        <v/>
      </c>
      <c r="CN45" s="388" t="str">
        <f t="shared" si="43"/>
        <v>0001-00</v>
      </c>
    </row>
    <row r="46" spans="1:92" ht="15.75" thickBot="1">
      <c r="A46" s="377" t="s">
        <v>162</v>
      </c>
      <c r="B46" s="377" t="s">
        <v>163</v>
      </c>
      <c r="C46" s="377" t="s">
        <v>409</v>
      </c>
      <c r="D46" s="377" t="s">
        <v>165</v>
      </c>
      <c r="E46" s="377" t="s">
        <v>166</v>
      </c>
      <c r="F46" s="378" t="s">
        <v>167</v>
      </c>
      <c r="G46" s="377" t="s">
        <v>168</v>
      </c>
      <c r="H46" s="379"/>
      <c r="I46" s="379"/>
      <c r="J46" s="377" t="s">
        <v>169</v>
      </c>
      <c r="K46" s="377" t="s">
        <v>170</v>
      </c>
      <c r="L46" s="377" t="s">
        <v>171</v>
      </c>
      <c r="M46" s="377" t="s">
        <v>172</v>
      </c>
      <c r="N46" s="377" t="s">
        <v>173</v>
      </c>
      <c r="O46" s="380">
        <v>1</v>
      </c>
      <c r="P46" s="386">
        <v>1</v>
      </c>
      <c r="Q46" s="386">
        <v>1</v>
      </c>
      <c r="R46" s="381">
        <v>80</v>
      </c>
      <c r="S46" s="386">
        <v>1</v>
      </c>
      <c r="T46" s="381">
        <v>32348.31</v>
      </c>
      <c r="U46" s="381">
        <v>604.97</v>
      </c>
      <c r="V46" s="381">
        <v>18664.349999999999</v>
      </c>
      <c r="W46" s="381">
        <v>36878.400000000001</v>
      </c>
      <c r="X46" s="381">
        <v>20474.93</v>
      </c>
      <c r="Y46" s="381">
        <v>36878.400000000001</v>
      </c>
      <c r="Z46" s="381">
        <v>21389.33</v>
      </c>
      <c r="AA46" s="377" t="s">
        <v>410</v>
      </c>
      <c r="AB46" s="377" t="s">
        <v>411</v>
      </c>
      <c r="AC46" s="377" t="s">
        <v>412</v>
      </c>
      <c r="AD46" s="377" t="s">
        <v>413</v>
      </c>
      <c r="AE46" s="377" t="s">
        <v>170</v>
      </c>
      <c r="AF46" s="377" t="s">
        <v>178</v>
      </c>
      <c r="AG46" s="377" t="s">
        <v>179</v>
      </c>
      <c r="AH46" s="382">
        <v>17.73</v>
      </c>
      <c r="AI46" s="382">
        <v>6730.4</v>
      </c>
      <c r="AJ46" s="377" t="s">
        <v>180</v>
      </c>
      <c r="AK46" s="377" t="s">
        <v>181</v>
      </c>
      <c r="AL46" s="377" t="s">
        <v>182</v>
      </c>
      <c r="AM46" s="377" t="s">
        <v>183</v>
      </c>
      <c r="AN46" s="377" t="s">
        <v>66</v>
      </c>
      <c r="AO46" s="380">
        <v>80</v>
      </c>
      <c r="AP46" s="386">
        <v>1</v>
      </c>
      <c r="AQ46" s="386">
        <v>1</v>
      </c>
      <c r="AR46" s="384" t="s">
        <v>184</v>
      </c>
      <c r="AS46" s="388">
        <f t="shared" si="27"/>
        <v>1</v>
      </c>
      <c r="AT46">
        <f t="shared" si="28"/>
        <v>1</v>
      </c>
      <c r="AU46" s="388">
        <f>IF(AT46=0,"",IF(AND(AT46=1,M46="F",SUMIF(C2:C112,C46,AS2:AS112)&lt;=1),SUMIF(C2:C112,C46,AS2:AS112),IF(AND(AT46=1,M46="F",SUMIF(C2:C112,C46,AS2:AS112)&gt;1),1,"")))</f>
        <v>1</v>
      </c>
      <c r="AV46" s="388" t="str">
        <f>IF(AT46=0,"",IF(AND(AT46=3,M46="F",SUMIF(C2:C112,C46,AS2:AS112)&lt;=1),SUMIF(C2:C112,C46,AS2:AS112),IF(AND(AT46=3,M46="F",SUMIF(C2:C112,C46,AS2:AS112)&gt;1),1,"")))</f>
        <v/>
      </c>
      <c r="AW46" s="388">
        <f>SUMIF(C2:C112,C46,O2:O112)</f>
        <v>2</v>
      </c>
      <c r="AX46" s="388">
        <f>IF(AND(M46="F",AS46&lt;&gt;0),SUMIF(C2:C112,C46,W2:W112),0)</f>
        <v>36878.400000000001</v>
      </c>
      <c r="AY46" s="388">
        <f t="shared" si="29"/>
        <v>36878.400000000001</v>
      </c>
      <c r="AZ46" s="388" t="str">
        <f t="shared" si="30"/>
        <v/>
      </c>
      <c r="BA46" s="388">
        <f t="shared" si="31"/>
        <v>0</v>
      </c>
      <c r="BB46" s="388">
        <f t="shared" si="44"/>
        <v>12500</v>
      </c>
      <c r="BC46" s="388">
        <f t="shared" si="45"/>
        <v>0</v>
      </c>
      <c r="BD46" s="388">
        <f t="shared" si="46"/>
        <v>2286.4608000000003</v>
      </c>
      <c r="BE46" s="388">
        <f t="shared" si="47"/>
        <v>534.73680000000002</v>
      </c>
      <c r="BF46" s="388">
        <f t="shared" si="48"/>
        <v>4403.2809600000001</v>
      </c>
      <c r="BG46" s="388">
        <f t="shared" si="49"/>
        <v>265.89326400000004</v>
      </c>
      <c r="BH46" s="388">
        <f t="shared" si="50"/>
        <v>0</v>
      </c>
      <c r="BI46" s="388">
        <f t="shared" si="51"/>
        <v>204.12194400000001</v>
      </c>
      <c r="BJ46" s="388">
        <f t="shared" si="52"/>
        <v>280.27584000000002</v>
      </c>
      <c r="BK46" s="388">
        <f t="shared" si="53"/>
        <v>0</v>
      </c>
      <c r="BL46" s="388">
        <f t="shared" si="32"/>
        <v>7974.7696080000014</v>
      </c>
      <c r="BM46" s="388">
        <f t="shared" si="33"/>
        <v>0</v>
      </c>
      <c r="BN46" s="388">
        <f t="shared" si="54"/>
        <v>13750</v>
      </c>
      <c r="BO46" s="388">
        <f t="shared" si="55"/>
        <v>0</v>
      </c>
      <c r="BP46" s="388">
        <f t="shared" si="56"/>
        <v>2286.4608000000003</v>
      </c>
      <c r="BQ46" s="388">
        <f t="shared" si="57"/>
        <v>534.73680000000002</v>
      </c>
      <c r="BR46" s="388">
        <f t="shared" si="58"/>
        <v>4123.0051199999998</v>
      </c>
      <c r="BS46" s="388">
        <f t="shared" si="59"/>
        <v>265.89326400000004</v>
      </c>
      <c r="BT46" s="388">
        <f t="shared" si="60"/>
        <v>0</v>
      </c>
      <c r="BU46" s="388">
        <f t="shared" si="61"/>
        <v>204.12194400000001</v>
      </c>
      <c r="BV46" s="388">
        <f t="shared" si="62"/>
        <v>224.95824000000002</v>
      </c>
      <c r="BW46" s="388">
        <f t="shared" si="63"/>
        <v>0</v>
      </c>
      <c r="BX46" s="388">
        <f t="shared" si="34"/>
        <v>7639.1761680000009</v>
      </c>
      <c r="BY46" s="388">
        <f t="shared" si="35"/>
        <v>0</v>
      </c>
      <c r="BZ46" s="388">
        <f t="shared" si="36"/>
        <v>1250</v>
      </c>
      <c r="CA46" s="388">
        <f t="shared" si="37"/>
        <v>0</v>
      </c>
      <c r="CB46" s="388">
        <f t="shared" si="38"/>
        <v>0</v>
      </c>
      <c r="CC46" s="388">
        <f t="shared" si="64"/>
        <v>0</v>
      </c>
      <c r="CD46" s="388">
        <f t="shared" si="65"/>
        <v>-280.27584000000036</v>
      </c>
      <c r="CE46" s="388">
        <f t="shared" si="66"/>
        <v>0</v>
      </c>
      <c r="CF46" s="388">
        <f t="shared" si="67"/>
        <v>0</v>
      </c>
      <c r="CG46" s="388">
        <f t="shared" si="68"/>
        <v>0</v>
      </c>
      <c r="CH46" s="388">
        <f t="shared" si="69"/>
        <v>-55.317599999999985</v>
      </c>
      <c r="CI46" s="388">
        <f t="shared" si="70"/>
        <v>0</v>
      </c>
      <c r="CJ46" s="388">
        <f t="shared" si="39"/>
        <v>-335.59344000000033</v>
      </c>
      <c r="CK46" s="388" t="str">
        <f t="shared" si="40"/>
        <v/>
      </c>
      <c r="CL46" s="388" t="str">
        <f t="shared" si="41"/>
        <v/>
      </c>
      <c r="CM46" s="388" t="str">
        <f t="shared" si="42"/>
        <v/>
      </c>
      <c r="CN46" s="388" t="str">
        <f t="shared" si="43"/>
        <v>0001-00</v>
      </c>
    </row>
    <row r="47" spans="1:92" ht="15.75" thickBot="1">
      <c r="A47" s="377" t="s">
        <v>162</v>
      </c>
      <c r="B47" s="377" t="s">
        <v>163</v>
      </c>
      <c r="C47" s="377" t="s">
        <v>414</v>
      </c>
      <c r="D47" s="377" t="s">
        <v>415</v>
      </c>
      <c r="E47" s="377" t="s">
        <v>166</v>
      </c>
      <c r="F47" s="378" t="s">
        <v>167</v>
      </c>
      <c r="G47" s="377" t="s">
        <v>168</v>
      </c>
      <c r="H47" s="379"/>
      <c r="I47" s="379"/>
      <c r="J47" s="377" t="s">
        <v>169</v>
      </c>
      <c r="K47" s="377" t="s">
        <v>416</v>
      </c>
      <c r="L47" s="377" t="s">
        <v>177</v>
      </c>
      <c r="M47" s="377" t="s">
        <v>189</v>
      </c>
      <c r="N47" s="377" t="s">
        <v>173</v>
      </c>
      <c r="O47" s="380">
        <v>0</v>
      </c>
      <c r="P47" s="386">
        <v>1</v>
      </c>
      <c r="Q47" s="386">
        <v>1</v>
      </c>
      <c r="R47" s="381">
        <v>80</v>
      </c>
      <c r="S47" s="386">
        <v>1</v>
      </c>
      <c r="T47" s="381">
        <v>46948.800000000003</v>
      </c>
      <c r="U47" s="381">
        <v>0</v>
      </c>
      <c r="V47" s="381">
        <v>21784.43</v>
      </c>
      <c r="W47" s="381">
        <v>48817.599999999999</v>
      </c>
      <c r="X47" s="381">
        <v>21967.919999999998</v>
      </c>
      <c r="Y47" s="381">
        <v>48817.599999999999</v>
      </c>
      <c r="Z47" s="381">
        <v>22749</v>
      </c>
      <c r="AA47" s="379"/>
      <c r="AB47" s="377" t="s">
        <v>45</v>
      </c>
      <c r="AC47" s="377" t="s">
        <v>45</v>
      </c>
      <c r="AD47" s="379"/>
      <c r="AE47" s="379"/>
      <c r="AF47" s="379"/>
      <c r="AG47" s="379"/>
      <c r="AH47" s="380">
        <v>0</v>
      </c>
      <c r="AI47" s="380">
        <v>0</v>
      </c>
      <c r="AJ47" s="379"/>
      <c r="AK47" s="379"/>
      <c r="AL47" s="377" t="s">
        <v>182</v>
      </c>
      <c r="AM47" s="379"/>
      <c r="AN47" s="379"/>
      <c r="AO47" s="380">
        <v>0</v>
      </c>
      <c r="AP47" s="386">
        <v>0</v>
      </c>
      <c r="AQ47" s="386">
        <v>0</v>
      </c>
      <c r="AR47" s="385"/>
      <c r="AS47" s="388">
        <f t="shared" si="27"/>
        <v>0</v>
      </c>
      <c r="AT47">
        <f t="shared" si="28"/>
        <v>0</v>
      </c>
      <c r="AU47" s="388" t="str">
        <f>IF(AT47=0,"",IF(AND(AT47=1,M47="F",SUMIF(C2:C112,C47,AS2:AS112)&lt;=1),SUMIF(C2:C112,C47,AS2:AS112),IF(AND(AT47=1,M47="F",SUMIF(C2:C112,C47,AS2:AS112)&gt;1),1,"")))</f>
        <v/>
      </c>
      <c r="AV47" s="388" t="str">
        <f>IF(AT47=0,"",IF(AND(AT47=3,M47="F",SUMIF(C2:C112,C47,AS2:AS112)&lt;=1),SUMIF(C2:C112,C47,AS2:AS112),IF(AND(AT47=3,M47="F",SUMIF(C2:C112,C47,AS2:AS112)&gt;1),1,"")))</f>
        <v/>
      </c>
      <c r="AW47" s="388">
        <f>SUMIF(C2:C112,C47,O2:O112)</f>
        <v>0</v>
      </c>
      <c r="AX47" s="388">
        <f>IF(AND(M47="F",AS47&lt;&gt;0),SUMIF(C2:C112,C47,W2:W112),0)</f>
        <v>0</v>
      </c>
      <c r="AY47" s="388" t="str">
        <f t="shared" si="29"/>
        <v/>
      </c>
      <c r="AZ47" s="388" t="str">
        <f t="shared" si="30"/>
        <v/>
      </c>
      <c r="BA47" s="388">
        <f t="shared" si="31"/>
        <v>0</v>
      </c>
      <c r="BB47" s="388">
        <f t="shared" si="44"/>
        <v>0</v>
      </c>
      <c r="BC47" s="388">
        <f t="shared" si="45"/>
        <v>0</v>
      </c>
      <c r="BD47" s="388">
        <f t="shared" si="46"/>
        <v>0</v>
      </c>
      <c r="BE47" s="388">
        <f t="shared" si="47"/>
        <v>0</v>
      </c>
      <c r="BF47" s="388">
        <f t="shared" si="48"/>
        <v>0</v>
      </c>
      <c r="BG47" s="388">
        <f t="shared" si="49"/>
        <v>0</v>
      </c>
      <c r="BH47" s="388">
        <f t="shared" si="50"/>
        <v>0</v>
      </c>
      <c r="BI47" s="388">
        <f t="shared" si="51"/>
        <v>0</v>
      </c>
      <c r="BJ47" s="388">
        <f t="shared" si="52"/>
        <v>0</v>
      </c>
      <c r="BK47" s="388">
        <f t="shared" si="53"/>
        <v>0</v>
      </c>
      <c r="BL47" s="388">
        <f t="shared" si="32"/>
        <v>0</v>
      </c>
      <c r="BM47" s="388">
        <f t="shared" si="33"/>
        <v>0</v>
      </c>
      <c r="BN47" s="388">
        <f t="shared" si="54"/>
        <v>0</v>
      </c>
      <c r="BO47" s="388">
        <f t="shared" si="55"/>
        <v>0</v>
      </c>
      <c r="BP47" s="388">
        <f t="shared" si="56"/>
        <v>0</v>
      </c>
      <c r="BQ47" s="388">
        <f t="shared" si="57"/>
        <v>0</v>
      </c>
      <c r="BR47" s="388">
        <f t="shared" si="58"/>
        <v>0</v>
      </c>
      <c r="BS47" s="388">
        <f t="shared" si="59"/>
        <v>0</v>
      </c>
      <c r="BT47" s="388">
        <f t="shared" si="60"/>
        <v>0</v>
      </c>
      <c r="BU47" s="388">
        <f t="shared" si="61"/>
        <v>0</v>
      </c>
      <c r="BV47" s="388">
        <f t="shared" si="62"/>
        <v>0</v>
      </c>
      <c r="BW47" s="388">
        <f t="shared" si="63"/>
        <v>0</v>
      </c>
      <c r="BX47" s="388">
        <f t="shared" si="34"/>
        <v>0</v>
      </c>
      <c r="BY47" s="388">
        <f t="shared" si="35"/>
        <v>0</v>
      </c>
      <c r="BZ47" s="388">
        <f t="shared" si="36"/>
        <v>0</v>
      </c>
      <c r="CA47" s="388">
        <f t="shared" si="37"/>
        <v>0</v>
      </c>
      <c r="CB47" s="388">
        <f t="shared" si="38"/>
        <v>0</v>
      </c>
      <c r="CC47" s="388">
        <f t="shared" si="64"/>
        <v>0</v>
      </c>
      <c r="CD47" s="388">
        <f t="shared" si="65"/>
        <v>0</v>
      </c>
      <c r="CE47" s="388">
        <f t="shared" si="66"/>
        <v>0</v>
      </c>
      <c r="CF47" s="388">
        <f t="shared" si="67"/>
        <v>0</v>
      </c>
      <c r="CG47" s="388">
        <f t="shared" si="68"/>
        <v>0</v>
      </c>
      <c r="CH47" s="388">
        <f t="shared" si="69"/>
        <v>0</v>
      </c>
      <c r="CI47" s="388">
        <f t="shared" si="70"/>
        <v>0</v>
      </c>
      <c r="CJ47" s="388">
        <f t="shared" si="39"/>
        <v>0</v>
      </c>
      <c r="CK47" s="388" t="str">
        <f t="shared" si="40"/>
        <v/>
      </c>
      <c r="CL47" s="388" t="str">
        <f t="shared" si="41"/>
        <v/>
      </c>
      <c r="CM47" s="388" t="str">
        <f t="shared" si="42"/>
        <v/>
      </c>
      <c r="CN47" s="388" t="str">
        <f t="shared" si="43"/>
        <v>0001-00</v>
      </c>
    </row>
    <row r="48" spans="1:92" ht="15.75" thickBot="1">
      <c r="A48" s="377" t="s">
        <v>162</v>
      </c>
      <c r="B48" s="377" t="s">
        <v>163</v>
      </c>
      <c r="C48" s="377" t="s">
        <v>417</v>
      </c>
      <c r="D48" s="377" t="s">
        <v>418</v>
      </c>
      <c r="E48" s="377" t="s">
        <v>419</v>
      </c>
      <c r="F48" s="378" t="s">
        <v>167</v>
      </c>
      <c r="G48" s="377" t="s">
        <v>168</v>
      </c>
      <c r="H48" s="379"/>
      <c r="I48" s="379"/>
      <c r="J48" s="377" t="s">
        <v>169</v>
      </c>
      <c r="K48" s="377" t="s">
        <v>420</v>
      </c>
      <c r="L48" s="377" t="s">
        <v>177</v>
      </c>
      <c r="M48" s="377" t="s">
        <v>172</v>
      </c>
      <c r="N48" s="377" t="s">
        <v>173</v>
      </c>
      <c r="O48" s="380">
        <v>1</v>
      </c>
      <c r="P48" s="386">
        <v>1</v>
      </c>
      <c r="Q48" s="386">
        <v>1</v>
      </c>
      <c r="R48" s="381">
        <v>80</v>
      </c>
      <c r="S48" s="386">
        <v>1</v>
      </c>
      <c r="T48" s="381">
        <v>55666.16</v>
      </c>
      <c r="U48" s="381">
        <v>349.11</v>
      </c>
      <c r="V48" s="381">
        <v>23798.240000000002</v>
      </c>
      <c r="W48" s="381">
        <v>62067.199999999997</v>
      </c>
      <c r="X48" s="381">
        <v>25922.01</v>
      </c>
      <c r="Y48" s="381">
        <v>62067.199999999997</v>
      </c>
      <c r="Z48" s="381">
        <v>26607.19</v>
      </c>
      <c r="AA48" s="377" t="s">
        <v>421</v>
      </c>
      <c r="AB48" s="377" t="s">
        <v>422</v>
      </c>
      <c r="AC48" s="377" t="s">
        <v>423</v>
      </c>
      <c r="AD48" s="377" t="s">
        <v>385</v>
      </c>
      <c r="AE48" s="377" t="s">
        <v>420</v>
      </c>
      <c r="AF48" s="377" t="s">
        <v>237</v>
      </c>
      <c r="AG48" s="377" t="s">
        <v>179</v>
      </c>
      <c r="AH48" s="382">
        <v>29.84</v>
      </c>
      <c r="AI48" s="382">
        <v>40576.300000000003</v>
      </c>
      <c r="AJ48" s="377" t="s">
        <v>180</v>
      </c>
      <c r="AK48" s="377" t="s">
        <v>181</v>
      </c>
      <c r="AL48" s="377" t="s">
        <v>182</v>
      </c>
      <c r="AM48" s="377" t="s">
        <v>183</v>
      </c>
      <c r="AN48" s="377" t="s">
        <v>66</v>
      </c>
      <c r="AO48" s="380">
        <v>80</v>
      </c>
      <c r="AP48" s="386">
        <v>1</v>
      </c>
      <c r="AQ48" s="386">
        <v>1</v>
      </c>
      <c r="AR48" s="384" t="s">
        <v>184</v>
      </c>
      <c r="AS48" s="388">
        <f t="shared" si="27"/>
        <v>1</v>
      </c>
      <c r="AT48">
        <f t="shared" si="28"/>
        <v>1</v>
      </c>
      <c r="AU48" s="388">
        <f>IF(AT48=0,"",IF(AND(AT48=1,M48="F",SUMIF(C2:C112,C48,AS2:AS112)&lt;=1),SUMIF(C2:C112,C48,AS2:AS112),IF(AND(AT48=1,M48="F",SUMIF(C2:C112,C48,AS2:AS112)&gt;1),1,"")))</f>
        <v>1</v>
      </c>
      <c r="AV48" s="388" t="str">
        <f>IF(AT48=0,"",IF(AND(AT48=3,M48="F",SUMIF(C2:C112,C48,AS2:AS112)&lt;=1),SUMIF(C2:C112,C48,AS2:AS112),IF(AND(AT48=3,M48="F",SUMIF(C2:C112,C48,AS2:AS112)&gt;1),1,"")))</f>
        <v/>
      </c>
      <c r="AW48" s="388">
        <f>SUMIF(C2:C112,C48,O2:O112)</f>
        <v>1</v>
      </c>
      <c r="AX48" s="388">
        <f>IF(AND(M48="F",AS48&lt;&gt;0),SUMIF(C2:C112,C48,W2:W112),0)</f>
        <v>62067.199999999997</v>
      </c>
      <c r="AY48" s="388">
        <f t="shared" si="29"/>
        <v>62067.199999999997</v>
      </c>
      <c r="AZ48" s="388" t="str">
        <f t="shared" si="30"/>
        <v/>
      </c>
      <c r="BA48" s="388">
        <f t="shared" si="31"/>
        <v>0</v>
      </c>
      <c r="BB48" s="388">
        <f t="shared" si="44"/>
        <v>12500</v>
      </c>
      <c r="BC48" s="388">
        <f t="shared" si="45"/>
        <v>0</v>
      </c>
      <c r="BD48" s="388">
        <f t="shared" si="46"/>
        <v>3848.1663999999996</v>
      </c>
      <c r="BE48" s="388">
        <f t="shared" si="47"/>
        <v>899.97440000000006</v>
      </c>
      <c r="BF48" s="388">
        <f t="shared" si="48"/>
        <v>7410.8236800000004</v>
      </c>
      <c r="BG48" s="388">
        <f t="shared" si="49"/>
        <v>447.50451199999998</v>
      </c>
      <c r="BH48" s="388">
        <f t="shared" si="50"/>
        <v>0</v>
      </c>
      <c r="BI48" s="388">
        <f t="shared" si="51"/>
        <v>343.54195199999998</v>
      </c>
      <c r="BJ48" s="388">
        <f t="shared" si="52"/>
        <v>471.71071999999998</v>
      </c>
      <c r="BK48" s="388">
        <f t="shared" si="53"/>
        <v>0</v>
      </c>
      <c r="BL48" s="388">
        <f t="shared" si="32"/>
        <v>13421.721663999997</v>
      </c>
      <c r="BM48" s="388">
        <f t="shared" si="33"/>
        <v>0</v>
      </c>
      <c r="BN48" s="388">
        <f t="shared" si="54"/>
        <v>13750</v>
      </c>
      <c r="BO48" s="388">
        <f t="shared" si="55"/>
        <v>0</v>
      </c>
      <c r="BP48" s="388">
        <f t="shared" si="56"/>
        <v>3848.1663999999996</v>
      </c>
      <c r="BQ48" s="388">
        <f t="shared" si="57"/>
        <v>899.97440000000006</v>
      </c>
      <c r="BR48" s="388">
        <f t="shared" si="58"/>
        <v>6939.1129599999995</v>
      </c>
      <c r="BS48" s="388">
        <f t="shared" si="59"/>
        <v>447.50451199999998</v>
      </c>
      <c r="BT48" s="388">
        <f t="shared" si="60"/>
        <v>0</v>
      </c>
      <c r="BU48" s="388">
        <f t="shared" si="61"/>
        <v>343.54195199999998</v>
      </c>
      <c r="BV48" s="388">
        <f t="shared" si="62"/>
        <v>378.60991999999999</v>
      </c>
      <c r="BW48" s="388">
        <f t="shared" si="63"/>
        <v>0</v>
      </c>
      <c r="BX48" s="388">
        <f t="shared" si="34"/>
        <v>12856.910143999999</v>
      </c>
      <c r="BY48" s="388">
        <f t="shared" si="35"/>
        <v>0</v>
      </c>
      <c r="BZ48" s="388">
        <f t="shared" si="36"/>
        <v>1250</v>
      </c>
      <c r="CA48" s="388">
        <f t="shared" si="37"/>
        <v>0</v>
      </c>
      <c r="CB48" s="388">
        <f t="shared" si="38"/>
        <v>0</v>
      </c>
      <c r="CC48" s="388">
        <f t="shared" si="64"/>
        <v>0</v>
      </c>
      <c r="CD48" s="388">
        <f t="shared" si="65"/>
        <v>-471.71072000000055</v>
      </c>
      <c r="CE48" s="388">
        <f t="shared" si="66"/>
        <v>0</v>
      </c>
      <c r="CF48" s="388">
        <f t="shared" si="67"/>
        <v>0</v>
      </c>
      <c r="CG48" s="388">
        <f t="shared" si="68"/>
        <v>0</v>
      </c>
      <c r="CH48" s="388">
        <f t="shared" si="69"/>
        <v>-93.100799999999964</v>
      </c>
      <c r="CI48" s="388">
        <f t="shared" si="70"/>
        <v>0</v>
      </c>
      <c r="CJ48" s="388">
        <f t="shared" si="39"/>
        <v>-564.81152000000054</v>
      </c>
      <c r="CK48" s="388" t="str">
        <f t="shared" si="40"/>
        <v/>
      </c>
      <c r="CL48" s="388" t="str">
        <f t="shared" si="41"/>
        <v/>
      </c>
      <c r="CM48" s="388" t="str">
        <f t="shared" si="42"/>
        <v/>
      </c>
      <c r="CN48" s="388" t="str">
        <f t="shared" si="43"/>
        <v>0348-00</v>
      </c>
    </row>
    <row r="49" spans="1:92" ht="15.75" thickBot="1">
      <c r="A49" s="377" t="s">
        <v>162</v>
      </c>
      <c r="B49" s="377" t="s">
        <v>163</v>
      </c>
      <c r="C49" s="377" t="s">
        <v>424</v>
      </c>
      <c r="D49" s="377" t="s">
        <v>364</v>
      </c>
      <c r="E49" s="377" t="s">
        <v>419</v>
      </c>
      <c r="F49" s="378" t="s">
        <v>167</v>
      </c>
      <c r="G49" s="377" t="s">
        <v>168</v>
      </c>
      <c r="H49" s="379"/>
      <c r="I49" s="379"/>
      <c r="J49" s="377" t="s">
        <v>169</v>
      </c>
      <c r="K49" s="377" t="s">
        <v>365</v>
      </c>
      <c r="L49" s="377" t="s">
        <v>179</v>
      </c>
      <c r="M49" s="377" t="s">
        <v>172</v>
      </c>
      <c r="N49" s="377" t="s">
        <v>214</v>
      </c>
      <c r="O49" s="380">
        <v>0</v>
      </c>
      <c r="P49" s="386">
        <v>1</v>
      </c>
      <c r="Q49" s="386">
        <v>0</v>
      </c>
      <c r="R49" s="381">
        <v>0</v>
      </c>
      <c r="S49" s="386">
        <v>0</v>
      </c>
      <c r="T49" s="381">
        <v>5014.95</v>
      </c>
      <c r="U49" s="381">
        <v>0</v>
      </c>
      <c r="V49" s="381">
        <v>449.02</v>
      </c>
      <c r="W49" s="381">
        <v>5014.95</v>
      </c>
      <c r="X49" s="381">
        <v>449.02</v>
      </c>
      <c r="Y49" s="381">
        <v>5014.95</v>
      </c>
      <c r="Z49" s="381">
        <v>449.02</v>
      </c>
      <c r="AA49" s="379"/>
      <c r="AB49" s="377" t="s">
        <v>45</v>
      </c>
      <c r="AC49" s="377" t="s">
        <v>45</v>
      </c>
      <c r="AD49" s="379"/>
      <c r="AE49" s="379"/>
      <c r="AF49" s="379"/>
      <c r="AG49" s="379"/>
      <c r="AH49" s="380">
        <v>0</v>
      </c>
      <c r="AI49" s="380">
        <v>0</v>
      </c>
      <c r="AJ49" s="379"/>
      <c r="AK49" s="379"/>
      <c r="AL49" s="377" t="s">
        <v>182</v>
      </c>
      <c r="AM49" s="379"/>
      <c r="AN49" s="379"/>
      <c r="AO49" s="380">
        <v>0</v>
      </c>
      <c r="AP49" s="386">
        <v>0</v>
      </c>
      <c r="AQ49" s="386">
        <v>0</v>
      </c>
      <c r="AR49" s="385"/>
      <c r="AS49" s="388">
        <f t="shared" si="27"/>
        <v>0</v>
      </c>
      <c r="AT49">
        <f t="shared" si="28"/>
        <v>0</v>
      </c>
      <c r="AU49" s="388" t="str">
        <f>IF(AT49=0,"",IF(AND(AT49=1,M49="F",SUMIF(C2:C112,C49,AS2:AS112)&lt;=1),SUMIF(C2:C112,C49,AS2:AS112),IF(AND(AT49=1,M49="F",SUMIF(C2:C112,C49,AS2:AS112)&gt;1),1,"")))</f>
        <v/>
      </c>
      <c r="AV49" s="388" t="str">
        <f>IF(AT49=0,"",IF(AND(AT49=3,M49="F",SUMIF(C2:C112,C49,AS2:AS112)&lt;=1),SUMIF(C2:C112,C49,AS2:AS112),IF(AND(AT49=3,M49="F",SUMIF(C2:C112,C49,AS2:AS112)&gt;1),1,"")))</f>
        <v/>
      </c>
      <c r="AW49" s="388">
        <f>SUMIF(C2:C112,C49,O2:O112)</f>
        <v>0</v>
      </c>
      <c r="AX49" s="388">
        <f>IF(AND(M49="F",AS49&lt;&gt;0),SUMIF(C2:C112,C49,W2:W112),0)</f>
        <v>0</v>
      </c>
      <c r="AY49" s="388" t="str">
        <f t="shared" si="29"/>
        <v/>
      </c>
      <c r="AZ49" s="388" t="str">
        <f t="shared" si="30"/>
        <v/>
      </c>
      <c r="BA49" s="388">
        <f t="shared" si="31"/>
        <v>0</v>
      </c>
      <c r="BB49" s="388">
        <f t="shared" si="44"/>
        <v>0</v>
      </c>
      <c r="BC49" s="388">
        <f t="shared" si="45"/>
        <v>0</v>
      </c>
      <c r="BD49" s="388">
        <f t="shared" si="46"/>
        <v>0</v>
      </c>
      <c r="BE49" s="388">
        <f t="shared" si="47"/>
        <v>0</v>
      </c>
      <c r="BF49" s="388">
        <f t="shared" si="48"/>
        <v>0</v>
      </c>
      <c r="BG49" s="388">
        <f t="shared" si="49"/>
        <v>0</v>
      </c>
      <c r="BH49" s="388">
        <f t="shared" si="50"/>
        <v>0</v>
      </c>
      <c r="BI49" s="388">
        <f t="shared" si="51"/>
        <v>0</v>
      </c>
      <c r="BJ49" s="388">
        <f t="shared" si="52"/>
        <v>0</v>
      </c>
      <c r="BK49" s="388">
        <f t="shared" si="53"/>
        <v>0</v>
      </c>
      <c r="BL49" s="388">
        <f t="shared" si="32"/>
        <v>0</v>
      </c>
      <c r="BM49" s="388">
        <f t="shared" si="33"/>
        <v>0</v>
      </c>
      <c r="BN49" s="388">
        <f t="shared" si="54"/>
        <v>0</v>
      </c>
      <c r="BO49" s="388">
        <f t="shared" si="55"/>
        <v>0</v>
      </c>
      <c r="BP49" s="388">
        <f t="shared" si="56"/>
        <v>0</v>
      </c>
      <c r="BQ49" s="388">
        <f t="shared" si="57"/>
        <v>0</v>
      </c>
      <c r="BR49" s="388">
        <f t="shared" si="58"/>
        <v>0</v>
      </c>
      <c r="BS49" s="388">
        <f t="shared" si="59"/>
        <v>0</v>
      </c>
      <c r="BT49" s="388">
        <f t="shared" si="60"/>
        <v>0</v>
      </c>
      <c r="BU49" s="388">
        <f t="shared" si="61"/>
        <v>0</v>
      </c>
      <c r="BV49" s="388">
        <f t="shared" si="62"/>
        <v>0</v>
      </c>
      <c r="BW49" s="388">
        <f t="shared" si="63"/>
        <v>0</v>
      </c>
      <c r="BX49" s="388">
        <f t="shared" si="34"/>
        <v>0</v>
      </c>
      <c r="BY49" s="388">
        <f t="shared" si="35"/>
        <v>0</v>
      </c>
      <c r="BZ49" s="388">
        <f t="shared" si="36"/>
        <v>0</v>
      </c>
      <c r="CA49" s="388">
        <f t="shared" si="37"/>
        <v>0</v>
      </c>
      <c r="CB49" s="388">
        <f t="shared" si="38"/>
        <v>0</v>
      </c>
      <c r="CC49" s="388">
        <f t="shared" si="64"/>
        <v>0</v>
      </c>
      <c r="CD49" s="388">
        <f t="shared" si="65"/>
        <v>0</v>
      </c>
      <c r="CE49" s="388">
        <f t="shared" si="66"/>
        <v>0</v>
      </c>
      <c r="CF49" s="388">
        <f t="shared" si="67"/>
        <v>0</v>
      </c>
      <c r="CG49" s="388">
        <f t="shared" si="68"/>
        <v>0</v>
      </c>
      <c r="CH49" s="388">
        <f t="shared" si="69"/>
        <v>0</v>
      </c>
      <c r="CI49" s="388">
        <f t="shared" si="70"/>
        <v>0</v>
      </c>
      <c r="CJ49" s="388">
        <f t="shared" si="39"/>
        <v>0</v>
      </c>
      <c r="CK49" s="388" t="str">
        <f t="shared" si="40"/>
        <v/>
      </c>
      <c r="CL49" s="388">
        <f t="shared" si="41"/>
        <v>5014.95</v>
      </c>
      <c r="CM49" s="388">
        <f t="shared" si="42"/>
        <v>449.02</v>
      </c>
      <c r="CN49" s="388" t="str">
        <f t="shared" si="43"/>
        <v>0348-00</v>
      </c>
    </row>
    <row r="50" spans="1:92" ht="15.75" thickBot="1">
      <c r="A50" s="377" t="s">
        <v>162</v>
      </c>
      <c r="B50" s="377" t="s">
        <v>163</v>
      </c>
      <c r="C50" s="377" t="s">
        <v>369</v>
      </c>
      <c r="D50" s="377" t="s">
        <v>370</v>
      </c>
      <c r="E50" s="377" t="s">
        <v>419</v>
      </c>
      <c r="F50" s="378" t="s">
        <v>167</v>
      </c>
      <c r="G50" s="377" t="s">
        <v>168</v>
      </c>
      <c r="H50" s="379"/>
      <c r="I50" s="379"/>
      <c r="J50" s="377" t="s">
        <v>169</v>
      </c>
      <c r="K50" s="377" t="s">
        <v>371</v>
      </c>
      <c r="L50" s="377" t="s">
        <v>217</v>
      </c>
      <c r="M50" s="377" t="s">
        <v>172</v>
      </c>
      <c r="N50" s="377" t="s">
        <v>173</v>
      </c>
      <c r="O50" s="380">
        <v>1</v>
      </c>
      <c r="P50" s="386">
        <v>0</v>
      </c>
      <c r="Q50" s="386">
        <v>0</v>
      </c>
      <c r="R50" s="381">
        <v>80</v>
      </c>
      <c r="S50" s="386">
        <v>0</v>
      </c>
      <c r="T50" s="381">
        <v>2680.54</v>
      </c>
      <c r="U50" s="381">
        <v>0</v>
      </c>
      <c r="V50" s="381">
        <v>984.76</v>
      </c>
      <c r="W50" s="381">
        <v>0</v>
      </c>
      <c r="X50" s="381">
        <v>0</v>
      </c>
      <c r="Y50" s="381">
        <v>0</v>
      </c>
      <c r="Z50" s="381">
        <v>0</v>
      </c>
      <c r="AA50" s="377" t="s">
        <v>372</v>
      </c>
      <c r="AB50" s="377" t="s">
        <v>373</v>
      </c>
      <c r="AC50" s="377" t="s">
        <v>305</v>
      </c>
      <c r="AD50" s="377" t="s">
        <v>374</v>
      </c>
      <c r="AE50" s="377" t="s">
        <v>371</v>
      </c>
      <c r="AF50" s="377" t="s">
        <v>222</v>
      </c>
      <c r="AG50" s="377" t="s">
        <v>179</v>
      </c>
      <c r="AH50" s="382">
        <v>34.11</v>
      </c>
      <c r="AI50" s="380">
        <v>8989</v>
      </c>
      <c r="AJ50" s="377" t="s">
        <v>180</v>
      </c>
      <c r="AK50" s="377" t="s">
        <v>181</v>
      </c>
      <c r="AL50" s="377" t="s">
        <v>182</v>
      </c>
      <c r="AM50" s="377" t="s">
        <v>183</v>
      </c>
      <c r="AN50" s="377" t="s">
        <v>66</v>
      </c>
      <c r="AO50" s="380">
        <v>80</v>
      </c>
      <c r="AP50" s="386">
        <v>1</v>
      </c>
      <c r="AQ50" s="386">
        <v>0</v>
      </c>
      <c r="AR50" s="384" t="s">
        <v>184</v>
      </c>
      <c r="AS50" s="388">
        <f t="shared" si="27"/>
        <v>0</v>
      </c>
      <c r="AT50">
        <f t="shared" si="28"/>
        <v>0</v>
      </c>
      <c r="AU50" s="388" t="str">
        <f>IF(AT50=0,"",IF(AND(AT50=1,M50="F",SUMIF(C2:C112,C50,AS2:AS112)&lt;=1),SUMIF(C2:C112,C50,AS2:AS112),IF(AND(AT50=1,M50="F",SUMIF(C2:C112,C50,AS2:AS112)&gt;1),1,"")))</f>
        <v/>
      </c>
      <c r="AV50" s="388" t="str">
        <f>IF(AT50=0,"",IF(AND(AT50=3,M50="F",SUMIF(C2:C112,C50,AS2:AS112)&lt;=1),SUMIF(C2:C112,C50,AS2:AS112),IF(AND(AT50=3,M50="F",SUMIF(C2:C112,C50,AS2:AS112)&gt;1),1,"")))</f>
        <v/>
      </c>
      <c r="AW50" s="388">
        <f>SUMIF(C2:C112,C50,O2:O112)</f>
        <v>2</v>
      </c>
      <c r="AX50" s="388">
        <f>IF(AND(M50="F",AS50&lt;&gt;0),SUMIF(C2:C112,C50,W2:W112),0)</f>
        <v>0</v>
      </c>
      <c r="AY50" s="388" t="str">
        <f t="shared" si="29"/>
        <v/>
      </c>
      <c r="AZ50" s="388" t="str">
        <f t="shared" si="30"/>
        <v/>
      </c>
      <c r="BA50" s="388">
        <f t="shared" si="31"/>
        <v>0</v>
      </c>
      <c r="BB50" s="388">
        <f t="shared" si="44"/>
        <v>0</v>
      </c>
      <c r="BC50" s="388">
        <f t="shared" si="45"/>
        <v>0</v>
      </c>
      <c r="BD50" s="388">
        <f t="shared" si="46"/>
        <v>0</v>
      </c>
      <c r="BE50" s="388">
        <f t="shared" si="47"/>
        <v>0</v>
      </c>
      <c r="BF50" s="388">
        <f t="shared" si="48"/>
        <v>0</v>
      </c>
      <c r="BG50" s="388">
        <f t="shared" si="49"/>
        <v>0</v>
      </c>
      <c r="BH50" s="388">
        <f t="shared" si="50"/>
        <v>0</v>
      </c>
      <c r="BI50" s="388">
        <f t="shared" si="51"/>
        <v>0</v>
      </c>
      <c r="BJ50" s="388">
        <f t="shared" si="52"/>
        <v>0</v>
      </c>
      <c r="BK50" s="388">
        <f t="shared" si="53"/>
        <v>0</v>
      </c>
      <c r="BL50" s="388">
        <f t="shared" si="32"/>
        <v>0</v>
      </c>
      <c r="BM50" s="388">
        <f t="shared" si="33"/>
        <v>0</v>
      </c>
      <c r="BN50" s="388">
        <f t="shared" si="54"/>
        <v>0</v>
      </c>
      <c r="BO50" s="388">
        <f t="shared" si="55"/>
        <v>0</v>
      </c>
      <c r="BP50" s="388">
        <f t="shared" si="56"/>
        <v>0</v>
      </c>
      <c r="BQ50" s="388">
        <f t="shared" si="57"/>
        <v>0</v>
      </c>
      <c r="BR50" s="388">
        <f t="shared" si="58"/>
        <v>0</v>
      </c>
      <c r="BS50" s="388">
        <f t="shared" si="59"/>
        <v>0</v>
      </c>
      <c r="BT50" s="388">
        <f t="shared" si="60"/>
        <v>0</v>
      </c>
      <c r="BU50" s="388">
        <f t="shared" si="61"/>
        <v>0</v>
      </c>
      <c r="BV50" s="388">
        <f t="shared" si="62"/>
        <v>0</v>
      </c>
      <c r="BW50" s="388">
        <f t="shared" si="63"/>
        <v>0</v>
      </c>
      <c r="BX50" s="388">
        <f t="shared" si="34"/>
        <v>0</v>
      </c>
      <c r="BY50" s="388">
        <f t="shared" si="35"/>
        <v>0</v>
      </c>
      <c r="BZ50" s="388">
        <f t="shared" si="36"/>
        <v>0</v>
      </c>
      <c r="CA50" s="388">
        <f t="shared" si="37"/>
        <v>0</v>
      </c>
      <c r="CB50" s="388">
        <f t="shared" si="38"/>
        <v>0</v>
      </c>
      <c r="CC50" s="388">
        <f t="shared" si="64"/>
        <v>0</v>
      </c>
      <c r="CD50" s="388">
        <f t="shared" si="65"/>
        <v>0</v>
      </c>
      <c r="CE50" s="388">
        <f t="shared" si="66"/>
        <v>0</v>
      </c>
      <c r="CF50" s="388">
        <f t="shared" si="67"/>
        <v>0</v>
      </c>
      <c r="CG50" s="388">
        <f t="shared" si="68"/>
        <v>0</v>
      </c>
      <c r="CH50" s="388">
        <f t="shared" si="69"/>
        <v>0</v>
      </c>
      <c r="CI50" s="388">
        <f t="shared" si="70"/>
        <v>0</v>
      </c>
      <c r="CJ50" s="388">
        <f t="shared" si="39"/>
        <v>0</v>
      </c>
      <c r="CK50" s="388" t="str">
        <f t="shared" si="40"/>
        <v/>
      </c>
      <c r="CL50" s="388" t="str">
        <f t="shared" si="41"/>
        <v/>
      </c>
      <c r="CM50" s="388" t="str">
        <f t="shared" si="42"/>
        <v/>
      </c>
      <c r="CN50" s="388" t="str">
        <f t="shared" si="43"/>
        <v>0348-00</v>
      </c>
    </row>
    <row r="51" spans="1:92" ht="15.75" thickBot="1">
      <c r="A51" s="377" t="s">
        <v>162</v>
      </c>
      <c r="B51" s="377" t="s">
        <v>163</v>
      </c>
      <c r="C51" s="377" t="s">
        <v>382</v>
      </c>
      <c r="D51" s="377" t="s">
        <v>383</v>
      </c>
      <c r="E51" s="377" t="s">
        <v>419</v>
      </c>
      <c r="F51" s="378" t="s">
        <v>167</v>
      </c>
      <c r="G51" s="377" t="s">
        <v>168</v>
      </c>
      <c r="H51" s="379"/>
      <c r="I51" s="379"/>
      <c r="J51" s="377" t="s">
        <v>192</v>
      </c>
      <c r="K51" s="377" t="s">
        <v>384</v>
      </c>
      <c r="L51" s="377" t="s">
        <v>385</v>
      </c>
      <c r="M51" s="377" t="s">
        <v>172</v>
      </c>
      <c r="N51" s="377" t="s">
        <v>226</v>
      </c>
      <c r="O51" s="380">
        <v>1</v>
      </c>
      <c r="P51" s="386">
        <v>0.25</v>
      </c>
      <c r="Q51" s="386">
        <v>0.25</v>
      </c>
      <c r="R51" s="381">
        <v>80</v>
      </c>
      <c r="S51" s="386">
        <v>0.25</v>
      </c>
      <c r="T51" s="381">
        <v>13681.44</v>
      </c>
      <c r="U51" s="381">
        <v>0</v>
      </c>
      <c r="V51" s="381">
        <v>5948.73</v>
      </c>
      <c r="W51" s="381">
        <v>12896</v>
      </c>
      <c r="X51" s="381">
        <v>5842.3</v>
      </c>
      <c r="Y51" s="381">
        <v>12896</v>
      </c>
      <c r="Z51" s="381">
        <v>6037.45</v>
      </c>
      <c r="AA51" s="377" t="s">
        <v>386</v>
      </c>
      <c r="AB51" s="377" t="s">
        <v>387</v>
      </c>
      <c r="AC51" s="377" t="s">
        <v>388</v>
      </c>
      <c r="AD51" s="377" t="s">
        <v>197</v>
      </c>
      <c r="AE51" s="377" t="s">
        <v>384</v>
      </c>
      <c r="AF51" s="377" t="s">
        <v>389</v>
      </c>
      <c r="AG51" s="377" t="s">
        <v>179</v>
      </c>
      <c r="AH51" s="382">
        <v>24.8</v>
      </c>
      <c r="AI51" s="380">
        <v>25821</v>
      </c>
      <c r="AJ51" s="377" t="s">
        <v>180</v>
      </c>
      <c r="AK51" s="377" t="s">
        <v>181</v>
      </c>
      <c r="AL51" s="377" t="s">
        <v>182</v>
      </c>
      <c r="AM51" s="377" t="s">
        <v>183</v>
      </c>
      <c r="AN51" s="377" t="s">
        <v>66</v>
      </c>
      <c r="AO51" s="380">
        <v>80</v>
      </c>
      <c r="AP51" s="386">
        <v>1</v>
      </c>
      <c r="AQ51" s="386">
        <v>0.25</v>
      </c>
      <c r="AR51" s="384" t="s">
        <v>184</v>
      </c>
      <c r="AS51" s="388">
        <f t="shared" si="27"/>
        <v>0.25</v>
      </c>
      <c r="AT51">
        <f t="shared" si="28"/>
        <v>1</v>
      </c>
      <c r="AU51" s="388">
        <f>IF(AT51=0,"",IF(AND(AT51=1,M51="F",SUMIF(C2:C112,C51,AS2:AS112)&lt;=1),SUMIF(C2:C112,C51,AS2:AS112),IF(AND(AT51=1,M51="F",SUMIF(C2:C112,C51,AS2:AS112)&gt;1),1,"")))</f>
        <v>1</v>
      </c>
      <c r="AV51" s="388" t="str">
        <f>IF(AT51=0,"",IF(AND(AT51=3,M51="F",SUMIF(C2:C112,C51,AS2:AS112)&lt;=1),SUMIF(C2:C112,C51,AS2:AS112),IF(AND(AT51=3,M51="F",SUMIF(C2:C112,C51,AS2:AS112)&gt;1),1,"")))</f>
        <v/>
      </c>
      <c r="AW51" s="388">
        <f>SUMIF(C2:C112,C51,O2:O112)</f>
        <v>2</v>
      </c>
      <c r="AX51" s="388">
        <f>IF(AND(M51="F",AS51&lt;&gt;0),SUMIF(C2:C112,C51,W2:W112),0)</f>
        <v>51584</v>
      </c>
      <c r="AY51" s="388">
        <f t="shared" si="29"/>
        <v>12896</v>
      </c>
      <c r="AZ51" s="388" t="str">
        <f t="shared" si="30"/>
        <v/>
      </c>
      <c r="BA51" s="388">
        <f t="shared" si="31"/>
        <v>0</v>
      </c>
      <c r="BB51" s="388">
        <f t="shared" si="44"/>
        <v>3125</v>
      </c>
      <c r="BC51" s="388">
        <f t="shared" si="45"/>
        <v>0</v>
      </c>
      <c r="BD51" s="388">
        <f t="shared" si="46"/>
        <v>799.55200000000002</v>
      </c>
      <c r="BE51" s="388">
        <f t="shared" si="47"/>
        <v>186.99200000000002</v>
      </c>
      <c r="BF51" s="388">
        <f t="shared" si="48"/>
        <v>1539.7824000000001</v>
      </c>
      <c r="BG51" s="388">
        <f t="shared" si="49"/>
        <v>92.980159999999998</v>
      </c>
      <c r="BH51" s="388">
        <f t="shared" si="50"/>
        <v>0</v>
      </c>
      <c r="BI51" s="388">
        <f t="shared" si="51"/>
        <v>0</v>
      </c>
      <c r="BJ51" s="388">
        <f t="shared" si="52"/>
        <v>98.009600000000006</v>
      </c>
      <c r="BK51" s="388">
        <f t="shared" si="53"/>
        <v>0</v>
      </c>
      <c r="BL51" s="388">
        <f t="shared" si="32"/>
        <v>2717.3161599999999</v>
      </c>
      <c r="BM51" s="388">
        <f t="shared" si="33"/>
        <v>0</v>
      </c>
      <c r="BN51" s="388">
        <f t="shared" si="54"/>
        <v>3437.5</v>
      </c>
      <c r="BO51" s="388">
        <f t="shared" si="55"/>
        <v>0</v>
      </c>
      <c r="BP51" s="388">
        <f t="shared" si="56"/>
        <v>799.55200000000002</v>
      </c>
      <c r="BQ51" s="388">
        <f t="shared" si="57"/>
        <v>186.99200000000002</v>
      </c>
      <c r="BR51" s="388">
        <f t="shared" si="58"/>
        <v>1441.7728</v>
      </c>
      <c r="BS51" s="388">
        <f t="shared" si="59"/>
        <v>92.980159999999998</v>
      </c>
      <c r="BT51" s="388">
        <f t="shared" si="60"/>
        <v>0</v>
      </c>
      <c r="BU51" s="388">
        <f t="shared" si="61"/>
        <v>0</v>
      </c>
      <c r="BV51" s="388">
        <f t="shared" si="62"/>
        <v>78.665600000000012</v>
      </c>
      <c r="BW51" s="388">
        <f t="shared" si="63"/>
        <v>0</v>
      </c>
      <c r="BX51" s="388">
        <f t="shared" si="34"/>
        <v>2599.9625599999999</v>
      </c>
      <c r="BY51" s="388">
        <f t="shared" si="35"/>
        <v>0</v>
      </c>
      <c r="BZ51" s="388">
        <f t="shared" si="36"/>
        <v>312.5</v>
      </c>
      <c r="CA51" s="388">
        <f t="shared" si="37"/>
        <v>0</v>
      </c>
      <c r="CB51" s="388">
        <f t="shared" si="38"/>
        <v>0</v>
      </c>
      <c r="CC51" s="388">
        <f t="shared" si="64"/>
        <v>0</v>
      </c>
      <c r="CD51" s="388">
        <f t="shared" si="65"/>
        <v>-98.00960000000012</v>
      </c>
      <c r="CE51" s="388">
        <f t="shared" si="66"/>
        <v>0</v>
      </c>
      <c r="CF51" s="388">
        <f t="shared" si="67"/>
        <v>0</v>
      </c>
      <c r="CG51" s="388">
        <f t="shared" si="68"/>
        <v>0</v>
      </c>
      <c r="CH51" s="388">
        <f t="shared" si="69"/>
        <v>-19.343999999999994</v>
      </c>
      <c r="CI51" s="388">
        <f t="shared" si="70"/>
        <v>0</v>
      </c>
      <c r="CJ51" s="388">
        <f t="shared" si="39"/>
        <v>-117.35360000000011</v>
      </c>
      <c r="CK51" s="388" t="str">
        <f t="shared" si="40"/>
        <v/>
      </c>
      <c r="CL51" s="388" t="str">
        <f t="shared" si="41"/>
        <v/>
      </c>
      <c r="CM51" s="388" t="str">
        <f t="shared" si="42"/>
        <v/>
      </c>
      <c r="CN51" s="388" t="str">
        <f t="shared" si="43"/>
        <v>0348-00</v>
      </c>
    </row>
    <row r="52" spans="1:92" ht="15.75" thickBot="1">
      <c r="A52" s="377" t="s">
        <v>162</v>
      </c>
      <c r="B52" s="377" t="s">
        <v>163</v>
      </c>
      <c r="C52" s="377" t="s">
        <v>190</v>
      </c>
      <c r="D52" s="377" t="s">
        <v>191</v>
      </c>
      <c r="E52" s="377" t="s">
        <v>419</v>
      </c>
      <c r="F52" s="378" t="s">
        <v>167</v>
      </c>
      <c r="G52" s="377" t="s">
        <v>168</v>
      </c>
      <c r="H52" s="379"/>
      <c r="I52" s="379"/>
      <c r="J52" s="377" t="s">
        <v>192</v>
      </c>
      <c r="K52" s="377" t="s">
        <v>193</v>
      </c>
      <c r="L52" s="377" t="s">
        <v>188</v>
      </c>
      <c r="M52" s="377" t="s">
        <v>172</v>
      </c>
      <c r="N52" s="377" t="s">
        <v>173</v>
      </c>
      <c r="O52" s="380">
        <v>1</v>
      </c>
      <c r="P52" s="386">
        <v>0.25</v>
      </c>
      <c r="Q52" s="386">
        <v>0.25</v>
      </c>
      <c r="R52" s="381">
        <v>80</v>
      </c>
      <c r="S52" s="386">
        <v>0.25</v>
      </c>
      <c r="T52" s="381">
        <v>13675.36</v>
      </c>
      <c r="U52" s="381">
        <v>0</v>
      </c>
      <c r="V52" s="381">
        <v>5646.2</v>
      </c>
      <c r="W52" s="381">
        <v>15324.4</v>
      </c>
      <c r="X52" s="381">
        <v>6438.89</v>
      </c>
      <c r="Y52" s="381">
        <v>15324.4</v>
      </c>
      <c r="Z52" s="381">
        <v>6611.94</v>
      </c>
      <c r="AA52" s="377" t="s">
        <v>194</v>
      </c>
      <c r="AB52" s="377" t="s">
        <v>195</v>
      </c>
      <c r="AC52" s="377" t="s">
        <v>196</v>
      </c>
      <c r="AD52" s="377" t="s">
        <v>197</v>
      </c>
      <c r="AE52" s="377" t="s">
        <v>193</v>
      </c>
      <c r="AF52" s="377" t="s">
        <v>198</v>
      </c>
      <c r="AG52" s="377" t="s">
        <v>179</v>
      </c>
      <c r="AH52" s="382">
        <v>29.47</v>
      </c>
      <c r="AI52" s="382">
        <v>48521.4</v>
      </c>
      <c r="AJ52" s="377" t="s">
        <v>180</v>
      </c>
      <c r="AK52" s="377" t="s">
        <v>181</v>
      </c>
      <c r="AL52" s="377" t="s">
        <v>182</v>
      </c>
      <c r="AM52" s="377" t="s">
        <v>183</v>
      </c>
      <c r="AN52" s="377" t="s">
        <v>66</v>
      </c>
      <c r="AO52" s="380">
        <v>80</v>
      </c>
      <c r="AP52" s="386">
        <v>1</v>
      </c>
      <c r="AQ52" s="386">
        <v>0.25</v>
      </c>
      <c r="AR52" s="384" t="s">
        <v>184</v>
      </c>
      <c r="AS52" s="388">
        <f t="shared" si="27"/>
        <v>0.25</v>
      </c>
      <c r="AT52">
        <f t="shared" si="28"/>
        <v>1</v>
      </c>
      <c r="AU52" s="388">
        <f>IF(AT52=0,"",IF(AND(AT52=1,M52="F",SUMIF(C2:C112,C52,AS2:AS112)&lt;=1),SUMIF(C2:C112,C52,AS2:AS112),IF(AND(AT52=1,M52="F",SUMIF(C2:C112,C52,AS2:AS112)&gt;1),1,"")))</f>
        <v>1</v>
      </c>
      <c r="AV52" s="388" t="str">
        <f>IF(AT52=0,"",IF(AND(AT52=3,M52="F",SUMIF(C2:C112,C52,AS2:AS112)&lt;=1),SUMIF(C2:C112,C52,AS2:AS112),IF(AND(AT52=3,M52="F",SUMIF(C2:C112,C52,AS2:AS112)&gt;1),1,"")))</f>
        <v/>
      </c>
      <c r="AW52" s="388">
        <f>SUMIF(C2:C112,C52,O2:O112)</f>
        <v>2</v>
      </c>
      <c r="AX52" s="388">
        <f>IF(AND(M52="F",AS52&lt;&gt;0),SUMIF(C2:C112,C52,W2:W112),0)</f>
        <v>61297.599999999999</v>
      </c>
      <c r="AY52" s="388">
        <f t="shared" si="29"/>
        <v>15324.4</v>
      </c>
      <c r="AZ52" s="388" t="str">
        <f t="shared" si="30"/>
        <v/>
      </c>
      <c r="BA52" s="388">
        <f t="shared" si="31"/>
        <v>0</v>
      </c>
      <c r="BB52" s="388">
        <f t="shared" si="44"/>
        <v>3125</v>
      </c>
      <c r="BC52" s="388">
        <f t="shared" si="45"/>
        <v>0</v>
      </c>
      <c r="BD52" s="388">
        <f t="shared" si="46"/>
        <v>950.11279999999999</v>
      </c>
      <c r="BE52" s="388">
        <f t="shared" si="47"/>
        <v>222.2038</v>
      </c>
      <c r="BF52" s="388">
        <f t="shared" si="48"/>
        <v>1829.7333599999999</v>
      </c>
      <c r="BG52" s="388">
        <f t="shared" si="49"/>
        <v>110.488924</v>
      </c>
      <c r="BH52" s="388">
        <f t="shared" si="50"/>
        <v>0</v>
      </c>
      <c r="BI52" s="388">
        <f t="shared" si="51"/>
        <v>84.820554000000001</v>
      </c>
      <c r="BJ52" s="388">
        <f t="shared" si="52"/>
        <v>116.46544</v>
      </c>
      <c r="BK52" s="388">
        <f t="shared" si="53"/>
        <v>0</v>
      </c>
      <c r="BL52" s="388">
        <f t="shared" si="32"/>
        <v>3313.8248780000004</v>
      </c>
      <c r="BM52" s="388">
        <f t="shared" si="33"/>
        <v>0</v>
      </c>
      <c r="BN52" s="388">
        <f t="shared" si="54"/>
        <v>3437.5</v>
      </c>
      <c r="BO52" s="388">
        <f t="shared" si="55"/>
        <v>0</v>
      </c>
      <c r="BP52" s="388">
        <f t="shared" si="56"/>
        <v>950.11279999999999</v>
      </c>
      <c r="BQ52" s="388">
        <f t="shared" si="57"/>
        <v>222.2038</v>
      </c>
      <c r="BR52" s="388">
        <f t="shared" si="58"/>
        <v>1713.26792</v>
      </c>
      <c r="BS52" s="388">
        <f t="shared" si="59"/>
        <v>110.488924</v>
      </c>
      <c r="BT52" s="388">
        <f t="shared" si="60"/>
        <v>0</v>
      </c>
      <c r="BU52" s="388">
        <f t="shared" si="61"/>
        <v>84.820554000000001</v>
      </c>
      <c r="BV52" s="388">
        <f t="shared" si="62"/>
        <v>93.478840000000005</v>
      </c>
      <c r="BW52" s="388">
        <f t="shared" si="63"/>
        <v>0</v>
      </c>
      <c r="BX52" s="388">
        <f t="shared" si="34"/>
        <v>3174.3728380000007</v>
      </c>
      <c r="BY52" s="388">
        <f t="shared" si="35"/>
        <v>0</v>
      </c>
      <c r="BZ52" s="388">
        <f t="shared" si="36"/>
        <v>312.5</v>
      </c>
      <c r="CA52" s="388">
        <f t="shared" si="37"/>
        <v>0</v>
      </c>
      <c r="CB52" s="388">
        <f t="shared" si="38"/>
        <v>0</v>
      </c>
      <c r="CC52" s="388">
        <f t="shared" si="64"/>
        <v>0</v>
      </c>
      <c r="CD52" s="388">
        <f t="shared" si="65"/>
        <v>-116.46544000000014</v>
      </c>
      <c r="CE52" s="388">
        <f t="shared" si="66"/>
        <v>0</v>
      </c>
      <c r="CF52" s="388">
        <f t="shared" si="67"/>
        <v>0</v>
      </c>
      <c r="CG52" s="388">
        <f t="shared" si="68"/>
        <v>0</v>
      </c>
      <c r="CH52" s="388">
        <f t="shared" si="69"/>
        <v>-22.986599999999992</v>
      </c>
      <c r="CI52" s="388">
        <f t="shared" si="70"/>
        <v>0</v>
      </c>
      <c r="CJ52" s="388">
        <f t="shared" si="39"/>
        <v>-139.45204000000012</v>
      </c>
      <c r="CK52" s="388" t="str">
        <f t="shared" si="40"/>
        <v/>
      </c>
      <c r="CL52" s="388" t="str">
        <f t="shared" si="41"/>
        <v/>
      </c>
      <c r="CM52" s="388" t="str">
        <f t="shared" si="42"/>
        <v/>
      </c>
      <c r="CN52" s="388" t="str">
        <f t="shared" si="43"/>
        <v>0348-00</v>
      </c>
    </row>
    <row r="53" spans="1:92" ht="15.75" thickBot="1">
      <c r="A53" s="377" t="s">
        <v>162</v>
      </c>
      <c r="B53" s="377" t="s">
        <v>163</v>
      </c>
      <c r="C53" s="377" t="s">
        <v>215</v>
      </c>
      <c r="D53" s="377" t="s">
        <v>191</v>
      </c>
      <c r="E53" s="377" t="s">
        <v>419</v>
      </c>
      <c r="F53" s="378" t="s">
        <v>167</v>
      </c>
      <c r="G53" s="377" t="s">
        <v>168</v>
      </c>
      <c r="H53" s="379"/>
      <c r="I53" s="379"/>
      <c r="J53" s="377" t="s">
        <v>192</v>
      </c>
      <c r="K53" s="377" t="s">
        <v>216</v>
      </c>
      <c r="L53" s="377" t="s">
        <v>217</v>
      </c>
      <c r="M53" s="377" t="s">
        <v>172</v>
      </c>
      <c r="N53" s="377" t="s">
        <v>173</v>
      </c>
      <c r="O53" s="380">
        <v>1</v>
      </c>
      <c r="P53" s="386">
        <v>0.25</v>
      </c>
      <c r="Q53" s="386">
        <v>0.25</v>
      </c>
      <c r="R53" s="381">
        <v>80</v>
      </c>
      <c r="S53" s="386">
        <v>0.25</v>
      </c>
      <c r="T53" s="381">
        <v>17805.66</v>
      </c>
      <c r="U53" s="381">
        <v>0</v>
      </c>
      <c r="V53" s="381">
        <v>6555.6</v>
      </c>
      <c r="W53" s="381">
        <v>18787.599999999999</v>
      </c>
      <c r="X53" s="381">
        <v>7187.81</v>
      </c>
      <c r="Y53" s="381">
        <v>18787.599999999999</v>
      </c>
      <c r="Z53" s="381">
        <v>7329.34</v>
      </c>
      <c r="AA53" s="377" t="s">
        <v>218</v>
      </c>
      <c r="AB53" s="377" t="s">
        <v>219</v>
      </c>
      <c r="AC53" s="377" t="s">
        <v>220</v>
      </c>
      <c r="AD53" s="377" t="s">
        <v>221</v>
      </c>
      <c r="AE53" s="377" t="s">
        <v>216</v>
      </c>
      <c r="AF53" s="377" t="s">
        <v>222</v>
      </c>
      <c r="AG53" s="377" t="s">
        <v>179</v>
      </c>
      <c r="AH53" s="382">
        <v>36.130000000000003</v>
      </c>
      <c r="AI53" s="382">
        <v>19680.2</v>
      </c>
      <c r="AJ53" s="377" t="s">
        <v>180</v>
      </c>
      <c r="AK53" s="377" t="s">
        <v>181</v>
      </c>
      <c r="AL53" s="377" t="s">
        <v>182</v>
      </c>
      <c r="AM53" s="377" t="s">
        <v>183</v>
      </c>
      <c r="AN53" s="377" t="s">
        <v>66</v>
      </c>
      <c r="AO53" s="380">
        <v>80</v>
      </c>
      <c r="AP53" s="386">
        <v>1</v>
      </c>
      <c r="AQ53" s="386">
        <v>0.25</v>
      </c>
      <c r="AR53" s="384" t="s">
        <v>184</v>
      </c>
      <c r="AS53" s="388">
        <f t="shared" si="27"/>
        <v>0.25</v>
      </c>
      <c r="AT53">
        <f t="shared" si="28"/>
        <v>1</v>
      </c>
      <c r="AU53" s="388">
        <f>IF(AT53=0,"",IF(AND(AT53=1,M53="F",SUMIF(C2:C112,C53,AS2:AS112)&lt;=1),SUMIF(C2:C112,C53,AS2:AS112),IF(AND(AT53=1,M53="F",SUMIF(C2:C112,C53,AS2:AS112)&gt;1),1,"")))</f>
        <v>1</v>
      </c>
      <c r="AV53" s="388" t="str">
        <f>IF(AT53=0,"",IF(AND(AT53=3,M53="F",SUMIF(C2:C112,C53,AS2:AS112)&lt;=1),SUMIF(C2:C112,C53,AS2:AS112),IF(AND(AT53=3,M53="F",SUMIF(C2:C112,C53,AS2:AS112)&gt;1),1,"")))</f>
        <v/>
      </c>
      <c r="AW53" s="388">
        <f>SUMIF(C2:C112,C53,O2:O112)</f>
        <v>2</v>
      </c>
      <c r="AX53" s="388">
        <f>IF(AND(M53="F",AS53&lt;&gt;0),SUMIF(C2:C112,C53,W2:W112),0)</f>
        <v>75150.399999999994</v>
      </c>
      <c r="AY53" s="388">
        <f t="shared" si="29"/>
        <v>18787.599999999999</v>
      </c>
      <c r="AZ53" s="388" t="str">
        <f t="shared" si="30"/>
        <v/>
      </c>
      <c r="BA53" s="388">
        <f t="shared" si="31"/>
        <v>0</v>
      </c>
      <c r="BB53" s="388">
        <f t="shared" si="44"/>
        <v>3125</v>
      </c>
      <c r="BC53" s="388">
        <f t="shared" si="45"/>
        <v>0</v>
      </c>
      <c r="BD53" s="388">
        <f t="shared" si="46"/>
        <v>1164.8311999999999</v>
      </c>
      <c r="BE53" s="388">
        <f t="shared" si="47"/>
        <v>272.42019999999997</v>
      </c>
      <c r="BF53" s="388">
        <f t="shared" si="48"/>
        <v>2243.2394399999998</v>
      </c>
      <c r="BG53" s="388">
        <f t="shared" si="49"/>
        <v>135.458596</v>
      </c>
      <c r="BH53" s="388">
        <f t="shared" si="50"/>
        <v>0</v>
      </c>
      <c r="BI53" s="388">
        <f t="shared" si="51"/>
        <v>103.98936599999999</v>
      </c>
      <c r="BJ53" s="388">
        <f t="shared" si="52"/>
        <v>142.78575999999998</v>
      </c>
      <c r="BK53" s="388">
        <f t="shared" si="53"/>
        <v>0</v>
      </c>
      <c r="BL53" s="388">
        <f t="shared" si="32"/>
        <v>4062.7245619999994</v>
      </c>
      <c r="BM53" s="388">
        <f t="shared" si="33"/>
        <v>0</v>
      </c>
      <c r="BN53" s="388">
        <f t="shared" si="54"/>
        <v>3437.5</v>
      </c>
      <c r="BO53" s="388">
        <f t="shared" si="55"/>
        <v>0</v>
      </c>
      <c r="BP53" s="388">
        <f t="shared" si="56"/>
        <v>1164.8311999999999</v>
      </c>
      <c r="BQ53" s="388">
        <f t="shared" si="57"/>
        <v>272.42019999999997</v>
      </c>
      <c r="BR53" s="388">
        <f t="shared" si="58"/>
        <v>2100.4536799999996</v>
      </c>
      <c r="BS53" s="388">
        <f t="shared" si="59"/>
        <v>135.458596</v>
      </c>
      <c r="BT53" s="388">
        <f t="shared" si="60"/>
        <v>0</v>
      </c>
      <c r="BU53" s="388">
        <f t="shared" si="61"/>
        <v>103.98936599999999</v>
      </c>
      <c r="BV53" s="388">
        <f t="shared" si="62"/>
        <v>114.60436</v>
      </c>
      <c r="BW53" s="388">
        <f t="shared" si="63"/>
        <v>0</v>
      </c>
      <c r="BX53" s="388">
        <f t="shared" si="34"/>
        <v>3891.7574019999993</v>
      </c>
      <c r="BY53" s="388">
        <f t="shared" si="35"/>
        <v>0</v>
      </c>
      <c r="BZ53" s="388">
        <f t="shared" si="36"/>
        <v>312.5</v>
      </c>
      <c r="CA53" s="388">
        <f t="shared" si="37"/>
        <v>0</v>
      </c>
      <c r="CB53" s="388">
        <f t="shared" si="38"/>
        <v>0</v>
      </c>
      <c r="CC53" s="388">
        <f t="shared" si="64"/>
        <v>0</v>
      </c>
      <c r="CD53" s="388">
        <f t="shared" si="65"/>
        <v>-142.78576000000018</v>
      </c>
      <c r="CE53" s="388">
        <f t="shared" si="66"/>
        <v>0</v>
      </c>
      <c r="CF53" s="388">
        <f t="shared" si="67"/>
        <v>0</v>
      </c>
      <c r="CG53" s="388">
        <f t="shared" si="68"/>
        <v>0</v>
      </c>
      <c r="CH53" s="388">
        <f t="shared" si="69"/>
        <v>-28.181399999999989</v>
      </c>
      <c r="CI53" s="388">
        <f t="shared" si="70"/>
        <v>0</v>
      </c>
      <c r="CJ53" s="388">
        <f t="shared" si="39"/>
        <v>-170.96716000000018</v>
      </c>
      <c r="CK53" s="388" t="str">
        <f t="shared" si="40"/>
        <v/>
      </c>
      <c r="CL53" s="388" t="str">
        <f t="shared" si="41"/>
        <v/>
      </c>
      <c r="CM53" s="388" t="str">
        <f t="shared" si="42"/>
        <v/>
      </c>
      <c r="CN53" s="388" t="str">
        <f t="shared" si="43"/>
        <v>0348-00</v>
      </c>
    </row>
    <row r="54" spans="1:92" ht="15.75" thickBot="1">
      <c r="A54" s="377" t="s">
        <v>162</v>
      </c>
      <c r="B54" s="377" t="s">
        <v>163</v>
      </c>
      <c r="C54" s="377" t="s">
        <v>166</v>
      </c>
      <c r="D54" s="377" t="s">
        <v>425</v>
      </c>
      <c r="E54" s="377" t="s">
        <v>419</v>
      </c>
      <c r="F54" s="378" t="s">
        <v>167</v>
      </c>
      <c r="G54" s="377" t="s">
        <v>168</v>
      </c>
      <c r="H54" s="379"/>
      <c r="I54" s="379"/>
      <c r="J54" s="377" t="s">
        <v>169</v>
      </c>
      <c r="K54" s="377" t="s">
        <v>426</v>
      </c>
      <c r="L54" s="377" t="s">
        <v>177</v>
      </c>
      <c r="M54" s="377" t="s">
        <v>172</v>
      </c>
      <c r="N54" s="377" t="s">
        <v>173</v>
      </c>
      <c r="O54" s="380">
        <v>1</v>
      </c>
      <c r="P54" s="386">
        <v>1</v>
      </c>
      <c r="Q54" s="386">
        <v>1</v>
      </c>
      <c r="R54" s="381">
        <v>80</v>
      </c>
      <c r="S54" s="386">
        <v>1</v>
      </c>
      <c r="T54" s="381">
        <v>54720</v>
      </c>
      <c r="U54" s="381">
        <v>0</v>
      </c>
      <c r="V54" s="381">
        <v>23358.41</v>
      </c>
      <c r="W54" s="381">
        <v>62067.199999999997</v>
      </c>
      <c r="X54" s="381">
        <v>25922.01</v>
      </c>
      <c r="Y54" s="381">
        <v>62067.199999999997</v>
      </c>
      <c r="Z54" s="381">
        <v>26607.19</v>
      </c>
      <c r="AA54" s="377" t="s">
        <v>427</v>
      </c>
      <c r="AB54" s="377" t="s">
        <v>428</v>
      </c>
      <c r="AC54" s="377" t="s">
        <v>429</v>
      </c>
      <c r="AD54" s="377" t="s">
        <v>217</v>
      </c>
      <c r="AE54" s="377" t="s">
        <v>426</v>
      </c>
      <c r="AF54" s="377" t="s">
        <v>237</v>
      </c>
      <c r="AG54" s="377" t="s">
        <v>179</v>
      </c>
      <c r="AH54" s="382">
        <v>29.84</v>
      </c>
      <c r="AI54" s="380">
        <v>20494</v>
      </c>
      <c r="AJ54" s="377" t="s">
        <v>180</v>
      </c>
      <c r="AK54" s="377" t="s">
        <v>181</v>
      </c>
      <c r="AL54" s="377" t="s">
        <v>182</v>
      </c>
      <c r="AM54" s="377" t="s">
        <v>183</v>
      </c>
      <c r="AN54" s="377" t="s">
        <v>66</v>
      </c>
      <c r="AO54" s="380">
        <v>80</v>
      </c>
      <c r="AP54" s="386">
        <v>1</v>
      </c>
      <c r="AQ54" s="386">
        <v>1</v>
      </c>
      <c r="AR54" s="384" t="s">
        <v>184</v>
      </c>
      <c r="AS54" s="388">
        <f t="shared" si="27"/>
        <v>1</v>
      </c>
      <c r="AT54">
        <f t="shared" si="28"/>
        <v>1</v>
      </c>
      <c r="AU54" s="388">
        <f>IF(AT54=0,"",IF(AND(AT54=1,M54="F",SUMIF(C2:C112,C54,AS2:AS112)&lt;=1),SUMIF(C2:C112,C54,AS2:AS112),IF(AND(AT54=1,M54="F",SUMIF(C2:C112,C54,AS2:AS112)&gt;1),1,"")))</f>
        <v>1</v>
      </c>
      <c r="AV54" s="388" t="str">
        <f>IF(AT54=0,"",IF(AND(AT54=3,M54="F",SUMIF(C2:C112,C54,AS2:AS112)&lt;=1),SUMIF(C2:C112,C54,AS2:AS112),IF(AND(AT54=3,M54="F",SUMIF(C2:C112,C54,AS2:AS112)&gt;1),1,"")))</f>
        <v/>
      </c>
      <c r="AW54" s="388">
        <f>SUMIF(C2:C112,C54,O2:O112)</f>
        <v>1</v>
      </c>
      <c r="AX54" s="388">
        <f>IF(AND(M54="F",AS54&lt;&gt;0),SUMIF(C2:C112,C54,W2:W112),0)</f>
        <v>62067.199999999997</v>
      </c>
      <c r="AY54" s="388">
        <f t="shared" si="29"/>
        <v>62067.199999999997</v>
      </c>
      <c r="AZ54" s="388" t="str">
        <f t="shared" si="30"/>
        <v/>
      </c>
      <c r="BA54" s="388">
        <f t="shared" si="31"/>
        <v>0</v>
      </c>
      <c r="BB54" s="388">
        <f t="shared" si="44"/>
        <v>12500</v>
      </c>
      <c r="BC54" s="388">
        <f t="shared" si="45"/>
        <v>0</v>
      </c>
      <c r="BD54" s="388">
        <f t="shared" si="46"/>
        <v>3848.1663999999996</v>
      </c>
      <c r="BE54" s="388">
        <f t="shared" si="47"/>
        <v>899.97440000000006</v>
      </c>
      <c r="BF54" s="388">
        <f t="shared" si="48"/>
        <v>7410.8236800000004</v>
      </c>
      <c r="BG54" s="388">
        <f t="shared" si="49"/>
        <v>447.50451199999998</v>
      </c>
      <c r="BH54" s="388">
        <f t="shared" si="50"/>
        <v>0</v>
      </c>
      <c r="BI54" s="388">
        <f t="shared" si="51"/>
        <v>343.54195199999998</v>
      </c>
      <c r="BJ54" s="388">
        <f t="shared" si="52"/>
        <v>471.71071999999998</v>
      </c>
      <c r="BK54" s="388">
        <f t="shared" si="53"/>
        <v>0</v>
      </c>
      <c r="BL54" s="388">
        <f t="shared" si="32"/>
        <v>13421.721663999997</v>
      </c>
      <c r="BM54" s="388">
        <f t="shared" si="33"/>
        <v>0</v>
      </c>
      <c r="BN54" s="388">
        <f t="shared" si="54"/>
        <v>13750</v>
      </c>
      <c r="BO54" s="388">
        <f t="shared" si="55"/>
        <v>0</v>
      </c>
      <c r="BP54" s="388">
        <f t="shared" si="56"/>
        <v>3848.1663999999996</v>
      </c>
      <c r="BQ54" s="388">
        <f t="shared" si="57"/>
        <v>899.97440000000006</v>
      </c>
      <c r="BR54" s="388">
        <f t="shared" si="58"/>
        <v>6939.1129599999995</v>
      </c>
      <c r="BS54" s="388">
        <f t="shared" si="59"/>
        <v>447.50451199999998</v>
      </c>
      <c r="BT54" s="388">
        <f t="shared" si="60"/>
        <v>0</v>
      </c>
      <c r="BU54" s="388">
        <f t="shared" si="61"/>
        <v>343.54195199999998</v>
      </c>
      <c r="BV54" s="388">
        <f t="shared" si="62"/>
        <v>378.60991999999999</v>
      </c>
      <c r="BW54" s="388">
        <f t="shared" si="63"/>
        <v>0</v>
      </c>
      <c r="BX54" s="388">
        <f t="shared" si="34"/>
        <v>12856.910143999999</v>
      </c>
      <c r="BY54" s="388">
        <f t="shared" si="35"/>
        <v>0</v>
      </c>
      <c r="BZ54" s="388">
        <f t="shared" si="36"/>
        <v>1250</v>
      </c>
      <c r="CA54" s="388">
        <f t="shared" si="37"/>
        <v>0</v>
      </c>
      <c r="CB54" s="388">
        <f t="shared" si="38"/>
        <v>0</v>
      </c>
      <c r="CC54" s="388">
        <f t="shared" si="64"/>
        <v>0</v>
      </c>
      <c r="CD54" s="388">
        <f t="shared" si="65"/>
        <v>-471.71072000000055</v>
      </c>
      <c r="CE54" s="388">
        <f t="shared" si="66"/>
        <v>0</v>
      </c>
      <c r="CF54" s="388">
        <f t="shared" si="67"/>
        <v>0</v>
      </c>
      <c r="CG54" s="388">
        <f t="shared" si="68"/>
        <v>0</v>
      </c>
      <c r="CH54" s="388">
        <f t="shared" si="69"/>
        <v>-93.100799999999964</v>
      </c>
      <c r="CI54" s="388">
        <f t="shared" si="70"/>
        <v>0</v>
      </c>
      <c r="CJ54" s="388">
        <f t="shared" si="39"/>
        <v>-564.81152000000054</v>
      </c>
      <c r="CK54" s="388" t="str">
        <f t="shared" si="40"/>
        <v/>
      </c>
      <c r="CL54" s="388" t="str">
        <f t="shared" si="41"/>
        <v/>
      </c>
      <c r="CM54" s="388" t="str">
        <f t="shared" si="42"/>
        <v/>
      </c>
      <c r="CN54" s="388" t="str">
        <f t="shared" si="43"/>
        <v>0348-00</v>
      </c>
    </row>
    <row r="55" spans="1:92" ht="15.75" thickBot="1">
      <c r="A55" s="377" t="s">
        <v>162</v>
      </c>
      <c r="B55" s="377" t="s">
        <v>163</v>
      </c>
      <c r="C55" s="377" t="s">
        <v>430</v>
      </c>
      <c r="D55" s="377" t="s">
        <v>377</v>
      </c>
      <c r="E55" s="377" t="s">
        <v>419</v>
      </c>
      <c r="F55" s="378" t="s">
        <v>167</v>
      </c>
      <c r="G55" s="377" t="s">
        <v>168</v>
      </c>
      <c r="H55" s="379"/>
      <c r="I55" s="379"/>
      <c r="J55" s="377" t="s">
        <v>169</v>
      </c>
      <c r="K55" s="377" t="s">
        <v>378</v>
      </c>
      <c r="L55" s="377" t="s">
        <v>202</v>
      </c>
      <c r="M55" s="377" t="s">
        <v>172</v>
      </c>
      <c r="N55" s="377" t="s">
        <v>214</v>
      </c>
      <c r="O55" s="380">
        <v>0</v>
      </c>
      <c r="P55" s="386">
        <v>0</v>
      </c>
      <c r="Q55" s="386">
        <v>0</v>
      </c>
      <c r="R55" s="381">
        <v>0</v>
      </c>
      <c r="S55" s="386">
        <v>0</v>
      </c>
      <c r="T55" s="381">
        <v>4661.1000000000004</v>
      </c>
      <c r="U55" s="381">
        <v>0</v>
      </c>
      <c r="V55" s="381">
        <v>371.18</v>
      </c>
      <c r="W55" s="381">
        <v>0</v>
      </c>
      <c r="X55" s="381">
        <v>0</v>
      </c>
      <c r="Y55" s="381">
        <v>0</v>
      </c>
      <c r="Z55" s="381">
        <v>0</v>
      </c>
      <c r="AA55" s="379"/>
      <c r="AB55" s="377" t="s">
        <v>45</v>
      </c>
      <c r="AC55" s="377" t="s">
        <v>45</v>
      </c>
      <c r="AD55" s="379"/>
      <c r="AE55" s="379"/>
      <c r="AF55" s="379"/>
      <c r="AG55" s="379"/>
      <c r="AH55" s="380">
        <v>0</v>
      </c>
      <c r="AI55" s="380">
        <v>0</v>
      </c>
      <c r="AJ55" s="379"/>
      <c r="AK55" s="379"/>
      <c r="AL55" s="377" t="s">
        <v>182</v>
      </c>
      <c r="AM55" s="379"/>
      <c r="AN55" s="379"/>
      <c r="AO55" s="380">
        <v>0</v>
      </c>
      <c r="AP55" s="386">
        <v>0</v>
      </c>
      <c r="AQ55" s="386">
        <v>0</v>
      </c>
      <c r="AR55" s="385"/>
      <c r="AS55" s="388">
        <f t="shared" si="27"/>
        <v>0</v>
      </c>
      <c r="AT55">
        <f t="shared" si="28"/>
        <v>0</v>
      </c>
      <c r="AU55" s="388" t="str">
        <f>IF(AT55=0,"",IF(AND(AT55=1,M55="F",SUMIF(C2:C112,C55,AS2:AS112)&lt;=1),SUMIF(C2:C112,C55,AS2:AS112),IF(AND(AT55=1,M55="F",SUMIF(C2:C112,C55,AS2:AS112)&gt;1),1,"")))</f>
        <v/>
      </c>
      <c r="AV55" s="388" t="str">
        <f>IF(AT55=0,"",IF(AND(AT55=3,M55="F",SUMIF(C2:C112,C55,AS2:AS112)&lt;=1),SUMIF(C2:C112,C55,AS2:AS112),IF(AND(AT55=3,M55="F",SUMIF(C2:C112,C55,AS2:AS112)&gt;1),1,"")))</f>
        <v/>
      </c>
      <c r="AW55" s="388">
        <f>SUMIF(C2:C112,C55,O2:O112)</f>
        <v>0</v>
      </c>
      <c r="AX55" s="388">
        <f>IF(AND(M55="F",AS55&lt;&gt;0),SUMIF(C2:C112,C55,W2:W112),0)</f>
        <v>0</v>
      </c>
      <c r="AY55" s="388" t="str">
        <f t="shared" si="29"/>
        <v/>
      </c>
      <c r="AZ55" s="388" t="str">
        <f t="shared" si="30"/>
        <v/>
      </c>
      <c r="BA55" s="388">
        <f t="shared" si="31"/>
        <v>0</v>
      </c>
      <c r="BB55" s="388">
        <f t="shared" si="44"/>
        <v>0</v>
      </c>
      <c r="BC55" s="388">
        <f t="shared" si="45"/>
        <v>0</v>
      </c>
      <c r="BD55" s="388">
        <f t="shared" si="46"/>
        <v>0</v>
      </c>
      <c r="BE55" s="388">
        <f t="shared" si="47"/>
        <v>0</v>
      </c>
      <c r="BF55" s="388">
        <f t="shared" si="48"/>
        <v>0</v>
      </c>
      <c r="BG55" s="388">
        <f t="shared" si="49"/>
        <v>0</v>
      </c>
      <c r="BH55" s="388">
        <f t="shared" si="50"/>
        <v>0</v>
      </c>
      <c r="BI55" s="388">
        <f t="shared" si="51"/>
        <v>0</v>
      </c>
      <c r="BJ55" s="388">
        <f t="shared" si="52"/>
        <v>0</v>
      </c>
      <c r="BK55" s="388">
        <f t="shared" si="53"/>
        <v>0</v>
      </c>
      <c r="BL55" s="388">
        <f t="shared" si="32"/>
        <v>0</v>
      </c>
      <c r="BM55" s="388">
        <f t="shared" si="33"/>
        <v>0</v>
      </c>
      <c r="BN55" s="388">
        <f t="shared" si="54"/>
        <v>0</v>
      </c>
      <c r="BO55" s="388">
        <f t="shared" si="55"/>
        <v>0</v>
      </c>
      <c r="BP55" s="388">
        <f t="shared" si="56"/>
        <v>0</v>
      </c>
      <c r="BQ55" s="388">
        <f t="shared" si="57"/>
        <v>0</v>
      </c>
      <c r="BR55" s="388">
        <f t="shared" si="58"/>
        <v>0</v>
      </c>
      <c r="BS55" s="388">
        <f t="shared" si="59"/>
        <v>0</v>
      </c>
      <c r="BT55" s="388">
        <f t="shared" si="60"/>
        <v>0</v>
      </c>
      <c r="BU55" s="388">
        <f t="shared" si="61"/>
        <v>0</v>
      </c>
      <c r="BV55" s="388">
        <f t="shared" si="62"/>
        <v>0</v>
      </c>
      <c r="BW55" s="388">
        <f t="shared" si="63"/>
        <v>0</v>
      </c>
      <c r="BX55" s="388">
        <f t="shared" si="34"/>
        <v>0</v>
      </c>
      <c r="BY55" s="388">
        <f t="shared" si="35"/>
        <v>0</v>
      </c>
      <c r="BZ55" s="388">
        <f t="shared" si="36"/>
        <v>0</v>
      </c>
      <c r="CA55" s="388">
        <f t="shared" si="37"/>
        <v>0</v>
      </c>
      <c r="CB55" s="388">
        <f t="shared" si="38"/>
        <v>0</v>
      </c>
      <c r="CC55" s="388">
        <f t="shared" si="64"/>
        <v>0</v>
      </c>
      <c r="CD55" s="388">
        <f t="shared" si="65"/>
        <v>0</v>
      </c>
      <c r="CE55" s="388">
        <f t="shared" si="66"/>
        <v>0</v>
      </c>
      <c r="CF55" s="388">
        <f t="shared" si="67"/>
        <v>0</v>
      </c>
      <c r="CG55" s="388">
        <f t="shared" si="68"/>
        <v>0</v>
      </c>
      <c r="CH55" s="388">
        <f t="shared" si="69"/>
        <v>0</v>
      </c>
      <c r="CI55" s="388">
        <f t="shared" si="70"/>
        <v>0</v>
      </c>
      <c r="CJ55" s="388">
        <f t="shared" si="39"/>
        <v>0</v>
      </c>
      <c r="CK55" s="388" t="str">
        <f t="shared" si="40"/>
        <v/>
      </c>
      <c r="CL55" s="388">
        <f t="shared" si="41"/>
        <v>4661.1000000000004</v>
      </c>
      <c r="CM55" s="388">
        <f t="shared" si="42"/>
        <v>371.18</v>
      </c>
      <c r="CN55" s="388" t="str">
        <f t="shared" si="43"/>
        <v>0348-00</v>
      </c>
    </row>
    <row r="56" spans="1:92" ht="15.75" thickBot="1">
      <c r="A56" s="377" t="s">
        <v>162</v>
      </c>
      <c r="B56" s="377" t="s">
        <v>163</v>
      </c>
      <c r="C56" s="377" t="s">
        <v>431</v>
      </c>
      <c r="D56" s="377" t="s">
        <v>432</v>
      </c>
      <c r="E56" s="377" t="s">
        <v>419</v>
      </c>
      <c r="F56" s="378" t="s">
        <v>167</v>
      </c>
      <c r="G56" s="377" t="s">
        <v>168</v>
      </c>
      <c r="H56" s="379"/>
      <c r="I56" s="379"/>
      <c r="J56" s="377" t="s">
        <v>169</v>
      </c>
      <c r="K56" s="377" t="s">
        <v>433</v>
      </c>
      <c r="L56" s="377" t="s">
        <v>202</v>
      </c>
      <c r="M56" s="377" t="s">
        <v>189</v>
      </c>
      <c r="N56" s="377" t="s">
        <v>214</v>
      </c>
      <c r="O56" s="380">
        <v>0</v>
      </c>
      <c r="P56" s="386">
        <v>1</v>
      </c>
      <c r="Q56" s="386">
        <v>0</v>
      </c>
      <c r="R56" s="381">
        <v>0</v>
      </c>
      <c r="S56" s="386">
        <v>0</v>
      </c>
      <c r="T56" s="381">
        <v>0</v>
      </c>
      <c r="U56" s="381">
        <v>0</v>
      </c>
      <c r="V56" s="381">
        <v>0</v>
      </c>
      <c r="W56" s="381">
        <v>0</v>
      </c>
      <c r="X56" s="381">
        <v>0</v>
      </c>
      <c r="Y56" s="381">
        <v>0</v>
      </c>
      <c r="Z56" s="381">
        <v>0</v>
      </c>
      <c r="AA56" s="379"/>
      <c r="AB56" s="377" t="s">
        <v>45</v>
      </c>
      <c r="AC56" s="377" t="s">
        <v>45</v>
      </c>
      <c r="AD56" s="379"/>
      <c r="AE56" s="379"/>
      <c r="AF56" s="379"/>
      <c r="AG56" s="379"/>
      <c r="AH56" s="380">
        <v>0</v>
      </c>
      <c r="AI56" s="380">
        <v>0</v>
      </c>
      <c r="AJ56" s="379"/>
      <c r="AK56" s="379"/>
      <c r="AL56" s="377" t="s">
        <v>182</v>
      </c>
      <c r="AM56" s="379"/>
      <c r="AN56" s="379"/>
      <c r="AO56" s="380">
        <v>0</v>
      </c>
      <c r="AP56" s="386">
        <v>0</v>
      </c>
      <c r="AQ56" s="386">
        <v>0</v>
      </c>
      <c r="AR56" s="385"/>
      <c r="AS56" s="388">
        <f t="shared" si="27"/>
        <v>0</v>
      </c>
      <c r="AT56">
        <f t="shared" si="28"/>
        <v>0</v>
      </c>
      <c r="AU56" s="388" t="str">
        <f>IF(AT56=0,"",IF(AND(AT56=1,M56="F",SUMIF(C2:C112,C56,AS2:AS112)&lt;=1),SUMIF(C2:C112,C56,AS2:AS112),IF(AND(AT56=1,M56="F",SUMIF(C2:C112,C56,AS2:AS112)&gt;1),1,"")))</f>
        <v/>
      </c>
      <c r="AV56" s="388" t="str">
        <f>IF(AT56=0,"",IF(AND(AT56=3,M56="F",SUMIF(C2:C112,C56,AS2:AS112)&lt;=1),SUMIF(C2:C112,C56,AS2:AS112),IF(AND(AT56=3,M56="F",SUMIF(C2:C112,C56,AS2:AS112)&gt;1),1,"")))</f>
        <v/>
      </c>
      <c r="AW56" s="388">
        <f>SUMIF(C2:C112,C56,O2:O112)</f>
        <v>0</v>
      </c>
      <c r="AX56" s="388">
        <f>IF(AND(M56="F",AS56&lt;&gt;0),SUMIF(C2:C112,C56,W2:W112),0)</f>
        <v>0</v>
      </c>
      <c r="AY56" s="388" t="str">
        <f t="shared" si="29"/>
        <v/>
      </c>
      <c r="AZ56" s="388" t="str">
        <f t="shared" si="30"/>
        <v/>
      </c>
      <c r="BA56" s="388">
        <f t="shared" si="31"/>
        <v>0</v>
      </c>
      <c r="BB56" s="388">
        <f t="shared" si="44"/>
        <v>0</v>
      </c>
      <c r="BC56" s="388">
        <f t="shared" si="45"/>
        <v>0</v>
      </c>
      <c r="BD56" s="388">
        <f t="shared" si="46"/>
        <v>0</v>
      </c>
      <c r="BE56" s="388">
        <f t="shared" si="47"/>
        <v>0</v>
      </c>
      <c r="BF56" s="388">
        <f t="shared" si="48"/>
        <v>0</v>
      </c>
      <c r="BG56" s="388">
        <f t="shared" si="49"/>
        <v>0</v>
      </c>
      <c r="BH56" s="388">
        <f t="shared" si="50"/>
        <v>0</v>
      </c>
      <c r="BI56" s="388">
        <f t="shared" si="51"/>
        <v>0</v>
      </c>
      <c r="BJ56" s="388">
        <f t="shared" si="52"/>
        <v>0</v>
      </c>
      <c r="BK56" s="388">
        <f t="shared" si="53"/>
        <v>0</v>
      </c>
      <c r="BL56" s="388">
        <f t="shared" si="32"/>
        <v>0</v>
      </c>
      <c r="BM56" s="388">
        <f t="shared" si="33"/>
        <v>0</v>
      </c>
      <c r="BN56" s="388">
        <f t="shared" si="54"/>
        <v>0</v>
      </c>
      <c r="BO56" s="388">
        <f t="shared" si="55"/>
        <v>0</v>
      </c>
      <c r="BP56" s="388">
        <f t="shared" si="56"/>
        <v>0</v>
      </c>
      <c r="BQ56" s="388">
        <f t="shared" si="57"/>
        <v>0</v>
      </c>
      <c r="BR56" s="388">
        <f t="shared" si="58"/>
        <v>0</v>
      </c>
      <c r="BS56" s="388">
        <f t="shared" si="59"/>
        <v>0</v>
      </c>
      <c r="BT56" s="388">
        <f t="shared" si="60"/>
        <v>0</v>
      </c>
      <c r="BU56" s="388">
        <f t="shared" si="61"/>
        <v>0</v>
      </c>
      <c r="BV56" s="388">
        <f t="shared" si="62"/>
        <v>0</v>
      </c>
      <c r="BW56" s="388">
        <f t="shared" si="63"/>
        <v>0</v>
      </c>
      <c r="BX56" s="388">
        <f t="shared" si="34"/>
        <v>0</v>
      </c>
      <c r="BY56" s="388">
        <f t="shared" si="35"/>
        <v>0</v>
      </c>
      <c r="BZ56" s="388">
        <f t="shared" si="36"/>
        <v>0</v>
      </c>
      <c r="CA56" s="388">
        <f t="shared" si="37"/>
        <v>0</v>
      </c>
      <c r="CB56" s="388">
        <f t="shared" si="38"/>
        <v>0</v>
      </c>
      <c r="CC56" s="388">
        <f t="shared" si="64"/>
        <v>0</v>
      </c>
      <c r="CD56" s="388">
        <f t="shared" si="65"/>
        <v>0</v>
      </c>
      <c r="CE56" s="388">
        <f t="shared" si="66"/>
        <v>0</v>
      </c>
      <c r="CF56" s="388">
        <f t="shared" si="67"/>
        <v>0</v>
      </c>
      <c r="CG56" s="388">
        <f t="shared" si="68"/>
        <v>0</v>
      </c>
      <c r="CH56" s="388">
        <f t="shared" si="69"/>
        <v>0</v>
      </c>
      <c r="CI56" s="388">
        <f t="shared" si="70"/>
        <v>0</v>
      </c>
      <c r="CJ56" s="388">
        <f t="shared" si="39"/>
        <v>0</v>
      </c>
      <c r="CK56" s="388" t="str">
        <f t="shared" si="40"/>
        <v/>
      </c>
      <c r="CL56" s="388">
        <f t="shared" si="41"/>
        <v>0</v>
      </c>
      <c r="CM56" s="388">
        <f t="shared" si="42"/>
        <v>0</v>
      </c>
      <c r="CN56" s="388" t="str">
        <f t="shared" si="43"/>
        <v>0348-00</v>
      </c>
    </row>
    <row r="57" spans="1:92" ht="15.75" thickBot="1">
      <c r="A57" s="377" t="s">
        <v>162</v>
      </c>
      <c r="B57" s="377" t="s">
        <v>163</v>
      </c>
      <c r="C57" s="377" t="s">
        <v>434</v>
      </c>
      <c r="D57" s="377" t="s">
        <v>435</v>
      </c>
      <c r="E57" s="377" t="s">
        <v>419</v>
      </c>
      <c r="F57" s="378" t="s">
        <v>167</v>
      </c>
      <c r="G57" s="377" t="s">
        <v>168</v>
      </c>
      <c r="H57" s="379"/>
      <c r="I57" s="379"/>
      <c r="J57" s="377" t="s">
        <v>169</v>
      </c>
      <c r="K57" s="377" t="s">
        <v>436</v>
      </c>
      <c r="L57" s="377" t="s">
        <v>181</v>
      </c>
      <c r="M57" s="377" t="s">
        <v>189</v>
      </c>
      <c r="N57" s="377" t="s">
        <v>214</v>
      </c>
      <c r="O57" s="380">
        <v>0</v>
      </c>
      <c r="P57" s="386">
        <v>1</v>
      </c>
      <c r="Q57" s="386">
        <v>0</v>
      </c>
      <c r="R57" s="381">
        <v>0</v>
      </c>
      <c r="S57" s="386">
        <v>0</v>
      </c>
      <c r="T57" s="381">
        <v>0</v>
      </c>
      <c r="U57" s="381">
        <v>0</v>
      </c>
      <c r="V57" s="381">
        <v>0</v>
      </c>
      <c r="W57" s="381">
        <v>0</v>
      </c>
      <c r="X57" s="381">
        <v>0</v>
      </c>
      <c r="Y57" s="381">
        <v>0</v>
      </c>
      <c r="Z57" s="381">
        <v>0</v>
      </c>
      <c r="AA57" s="379"/>
      <c r="AB57" s="377" t="s">
        <v>45</v>
      </c>
      <c r="AC57" s="377" t="s">
        <v>45</v>
      </c>
      <c r="AD57" s="379"/>
      <c r="AE57" s="379"/>
      <c r="AF57" s="379"/>
      <c r="AG57" s="379"/>
      <c r="AH57" s="380">
        <v>0</v>
      </c>
      <c r="AI57" s="380">
        <v>0</v>
      </c>
      <c r="AJ57" s="379"/>
      <c r="AK57" s="379"/>
      <c r="AL57" s="377" t="s">
        <v>182</v>
      </c>
      <c r="AM57" s="379"/>
      <c r="AN57" s="379"/>
      <c r="AO57" s="380">
        <v>0</v>
      </c>
      <c r="AP57" s="386">
        <v>0</v>
      </c>
      <c r="AQ57" s="386">
        <v>0</v>
      </c>
      <c r="AR57" s="385"/>
      <c r="AS57" s="388">
        <f t="shared" si="27"/>
        <v>0</v>
      </c>
      <c r="AT57">
        <f t="shared" si="28"/>
        <v>0</v>
      </c>
      <c r="AU57" s="388" t="str">
        <f>IF(AT57=0,"",IF(AND(AT57=1,M57="F",SUMIF(C2:C112,C57,AS2:AS112)&lt;=1),SUMIF(C2:C112,C57,AS2:AS112),IF(AND(AT57=1,M57="F",SUMIF(C2:C112,C57,AS2:AS112)&gt;1),1,"")))</f>
        <v/>
      </c>
      <c r="AV57" s="388" t="str">
        <f>IF(AT57=0,"",IF(AND(AT57=3,M57="F",SUMIF(C2:C112,C57,AS2:AS112)&lt;=1),SUMIF(C2:C112,C57,AS2:AS112),IF(AND(AT57=3,M57="F",SUMIF(C2:C112,C57,AS2:AS112)&gt;1),1,"")))</f>
        <v/>
      </c>
      <c r="AW57" s="388">
        <f>SUMIF(C2:C112,C57,O2:O112)</f>
        <v>0</v>
      </c>
      <c r="AX57" s="388">
        <f>IF(AND(M57="F",AS57&lt;&gt;0),SUMIF(C2:C112,C57,W2:W112),0)</f>
        <v>0</v>
      </c>
      <c r="AY57" s="388" t="str">
        <f t="shared" si="29"/>
        <v/>
      </c>
      <c r="AZ57" s="388" t="str">
        <f t="shared" si="30"/>
        <v/>
      </c>
      <c r="BA57" s="388">
        <f t="shared" si="31"/>
        <v>0</v>
      </c>
      <c r="BB57" s="388">
        <f t="shared" si="44"/>
        <v>0</v>
      </c>
      <c r="BC57" s="388">
        <f t="shared" si="45"/>
        <v>0</v>
      </c>
      <c r="BD57" s="388">
        <f t="shared" si="46"/>
        <v>0</v>
      </c>
      <c r="BE57" s="388">
        <f t="shared" si="47"/>
        <v>0</v>
      </c>
      <c r="BF57" s="388">
        <f t="shared" si="48"/>
        <v>0</v>
      </c>
      <c r="BG57" s="388">
        <f t="shared" si="49"/>
        <v>0</v>
      </c>
      <c r="BH57" s="388">
        <f t="shared" si="50"/>
        <v>0</v>
      </c>
      <c r="BI57" s="388">
        <f t="shared" si="51"/>
        <v>0</v>
      </c>
      <c r="BJ57" s="388">
        <f t="shared" si="52"/>
        <v>0</v>
      </c>
      <c r="BK57" s="388">
        <f t="shared" si="53"/>
        <v>0</v>
      </c>
      <c r="BL57" s="388">
        <f t="shared" si="32"/>
        <v>0</v>
      </c>
      <c r="BM57" s="388">
        <f t="shared" si="33"/>
        <v>0</v>
      </c>
      <c r="BN57" s="388">
        <f t="shared" si="54"/>
        <v>0</v>
      </c>
      <c r="BO57" s="388">
        <f t="shared" si="55"/>
        <v>0</v>
      </c>
      <c r="BP57" s="388">
        <f t="shared" si="56"/>
        <v>0</v>
      </c>
      <c r="BQ57" s="388">
        <f t="shared" si="57"/>
        <v>0</v>
      </c>
      <c r="BR57" s="388">
        <f t="shared" si="58"/>
        <v>0</v>
      </c>
      <c r="BS57" s="388">
        <f t="shared" si="59"/>
        <v>0</v>
      </c>
      <c r="BT57" s="388">
        <f t="shared" si="60"/>
        <v>0</v>
      </c>
      <c r="BU57" s="388">
        <f t="shared" si="61"/>
        <v>0</v>
      </c>
      <c r="BV57" s="388">
        <f t="shared" si="62"/>
        <v>0</v>
      </c>
      <c r="BW57" s="388">
        <f t="shared" si="63"/>
        <v>0</v>
      </c>
      <c r="BX57" s="388">
        <f t="shared" si="34"/>
        <v>0</v>
      </c>
      <c r="BY57" s="388">
        <f t="shared" si="35"/>
        <v>0</v>
      </c>
      <c r="BZ57" s="388">
        <f t="shared" si="36"/>
        <v>0</v>
      </c>
      <c r="CA57" s="388">
        <f t="shared" si="37"/>
        <v>0</v>
      </c>
      <c r="CB57" s="388">
        <f t="shared" si="38"/>
        <v>0</v>
      </c>
      <c r="CC57" s="388">
        <f t="shared" si="64"/>
        <v>0</v>
      </c>
      <c r="CD57" s="388">
        <f t="shared" si="65"/>
        <v>0</v>
      </c>
      <c r="CE57" s="388">
        <f t="shared" si="66"/>
        <v>0</v>
      </c>
      <c r="CF57" s="388">
        <f t="shared" si="67"/>
        <v>0</v>
      </c>
      <c r="CG57" s="388">
        <f t="shared" si="68"/>
        <v>0</v>
      </c>
      <c r="CH57" s="388">
        <f t="shared" si="69"/>
        <v>0</v>
      </c>
      <c r="CI57" s="388">
        <f t="shared" si="70"/>
        <v>0</v>
      </c>
      <c r="CJ57" s="388">
        <f t="shared" si="39"/>
        <v>0</v>
      </c>
      <c r="CK57" s="388" t="str">
        <f t="shared" si="40"/>
        <v/>
      </c>
      <c r="CL57" s="388">
        <f t="shared" si="41"/>
        <v>0</v>
      </c>
      <c r="CM57" s="388">
        <f t="shared" si="42"/>
        <v>0</v>
      </c>
      <c r="CN57" s="388" t="str">
        <f t="shared" si="43"/>
        <v>0348-00</v>
      </c>
    </row>
    <row r="58" spans="1:92" ht="15.75" thickBot="1">
      <c r="A58" s="377" t="s">
        <v>162</v>
      </c>
      <c r="B58" s="377" t="s">
        <v>163</v>
      </c>
      <c r="C58" s="377" t="s">
        <v>437</v>
      </c>
      <c r="D58" s="377" t="s">
        <v>435</v>
      </c>
      <c r="E58" s="377" t="s">
        <v>419</v>
      </c>
      <c r="F58" s="378" t="s">
        <v>167</v>
      </c>
      <c r="G58" s="377" t="s">
        <v>168</v>
      </c>
      <c r="H58" s="379"/>
      <c r="I58" s="379"/>
      <c r="J58" s="377" t="s">
        <v>169</v>
      </c>
      <c r="K58" s="377" t="s">
        <v>436</v>
      </c>
      <c r="L58" s="377" t="s">
        <v>181</v>
      </c>
      <c r="M58" s="377" t="s">
        <v>189</v>
      </c>
      <c r="N58" s="377" t="s">
        <v>214</v>
      </c>
      <c r="O58" s="380">
        <v>0</v>
      </c>
      <c r="P58" s="386">
        <v>1</v>
      </c>
      <c r="Q58" s="386">
        <v>0</v>
      </c>
      <c r="R58" s="381">
        <v>0</v>
      </c>
      <c r="S58" s="386">
        <v>0</v>
      </c>
      <c r="T58" s="381">
        <v>0</v>
      </c>
      <c r="U58" s="381">
        <v>0</v>
      </c>
      <c r="V58" s="381">
        <v>0</v>
      </c>
      <c r="W58" s="381">
        <v>0</v>
      </c>
      <c r="X58" s="381">
        <v>0</v>
      </c>
      <c r="Y58" s="381">
        <v>0</v>
      </c>
      <c r="Z58" s="381">
        <v>0</v>
      </c>
      <c r="AA58" s="379"/>
      <c r="AB58" s="377" t="s">
        <v>45</v>
      </c>
      <c r="AC58" s="377" t="s">
        <v>45</v>
      </c>
      <c r="AD58" s="379"/>
      <c r="AE58" s="379"/>
      <c r="AF58" s="379"/>
      <c r="AG58" s="379"/>
      <c r="AH58" s="380">
        <v>0</v>
      </c>
      <c r="AI58" s="380">
        <v>0</v>
      </c>
      <c r="AJ58" s="379"/>
      <c r="AK58" s="379"/>
      <c r="AL58" s="377" t="s">
        <v>182</v>
      </c>
      <c r="AM58" s="379"/>
      <c r="AN58" s="379"/>
      <c r="AO58" s="380">
        <v>0</v>
      </c>
      <c r="AP58" s="386">
        <v>0</v>
      </c>
      <c r="AQ58" s="386">
        <v>0</v>
      </c>
      <c r="AR58" s="385"/>
      <c r="AS58" s="388">
        <f t="shared" si="27"/>
        <v>0</v>
      </c>
      <c r="AT58">
        <f t="shared" si="28"/>
        <v>0</v>
      </c>
      <c r="AU58" s="388" t="str">
        <f>IF(AT58=0,"",IF(AND(AT58=1,M58="F",SUMIF(C2:C112,C58,AS2:AS112)&lt;=1),SUMIF(C2:C112,C58,AS2:AS112),IF(AND(AT58=1,M58="F",SUMIF(C2:C112,C58,AS2:AS112)&gt;1),1,"")))</f>
        <v/>
      </c>
      <c r="AV58" s="388" t="str">
        <f>IF(AT58=0,"",IF(AND(AT58=3,M58="F",SUMIF(C2:C112,C58,AS2:AS112)&lt;=1),SUMIF(C2:C112,C58,AS2:AS112),IF(AND(AT58=3,M58="F",SUMIF(C2:C112,C58,AS2:AS112)&gt;1),1,"")))</f>
        <v/>
      </c>
      <c r="AW58" s="388">
        <f>SUMIF(C2:C112,C58,O2:O112)</f>
        <v>0</v>
      </c>
      <c r="AX58" s="388">
        <f>IF(AND(M58="F",AS58&lt;&gt;0),SUMIF(C2:C112,C58,W2:W112),0)</f>
        <v>0</v>
      </c>
      <c r="AY58" s="388" t="str">
        <f t="shared" si="29"/>
        <v/>
      </c>
      <c r="AZ58" s="388" t="str">
        <f t="shared" si="30"/>
        <v/>
      </c>
      <c r="BA58" s="388">
        <f t="shared" si="31"/>
        <v>0</v>
      </c>
      <c r="BB58" s="388">
        <f t="shared" si="44"/>
        <v>0</v>
      </c>
      <c r="BC58" s="388">
        <f t="shared" si="45"/>
        <v>0</v>
      </c>
      <c r="BD58" s="388">
        <f t="shared" si="46"/>
        <v>0</v>
      </c>
      <c r="BE58" s="388">
        <f t="shared" si="47"/>
        <v>0</v>
      </c>
      <c r="BF58" s="388">
        <f t="shared" si="48"/>
        <v>0</v>
      </c>
      <c r="BG58" s="388">
        <f t="shared" si="49"/>
        <v>0</v>
      </c>
      <c r="BH58" s="388">
        <f t="shared" si="50"/>
        <v>0</v>
      </c>
      <c r="BI58" s="388">
        <f t="shared" si="51"/>
        <v>0</v>
      </c>
      <c r="BJ58" s="388">
        <f t="shared" si="52"/>
        <v>0</v>
      </c>
      <c r="BK58" s="388">
        <f t="shared" si="53"/>
        <v>0</v>
      </c>
      <c r="BL58" s="388">
        <f t="shared" si="32"/>
        <v>0</v>
      </c>
      <c r="BM58" s="388">
        <f t="shared" si="33"/>
        <v>0</v>
      </c>
      <c r="BN58" s="388">
        <f t="shared" si="54"/>
        <v>0</v>
      </c>
      <c r="BO58" s="388">
        <f t="shared" si="55"/>
        <v>0</v>
      </c>
      <c r="BP58" s="388">
        <f t="shared" si="56"/>
        <v>0</v>
      </c>
      <c r="BQ58" s="388">
        <f t="shared" si="57"/>
        <v>0</v>
      </c>
      <c r="BR58" s="388">
        <f t="shared" si="58"/>
        <v>0</v>
      </c>
      <c r="BS58" s="388">
        <f t="shared" si="59"/>
        <v>0</v>
      </c>
      <c r="BT58" s="388">
        <f t="shared" si="60"/>
        <v>0</v>
      </c>
      <c r="BU58" s="388">
        <f t="shared" si="61"/>
        <v>0</v>
      </c>
      <c r="BV58" s="388">
        <f t="shared" si="62"/>
        <v>0</v>
      </c>
      <c r="BW58" s="388">
        <f t="shared" si="63"/>
        <v>0</v>
      </c>
      <c r="BX58" s="388">
        <f t="shared" si="34"/>
        <v>0</v>
      </c>
      <c r="BY58" s="388">
        <f t="shared" si="35"/>
        <v>0</v>
      </c>
      <c r="BZ58" s="388">
        <f t="shared" si="36"/>
        <v>0</v>
      </c>
      <c r="CA58" s="388">
        <f t="shared" si="37"/>
        <v>0</v>
      </c>
      <c r="CB58" s="388">
        <f t="shared" si="38"/>
        <v>0</v>
      </c>
      <c r="CC58" s="388">
        <f t="shared" si="64"/>
        <v>0</v>
      </c>
      <c r="CD58" s="388">
        <f t="shared" si="65"/>
        <v>0</v>
      </c>
      <c r="CE58" s="388">
        <f t="shared" si="66"/>
        <v>0</v>
      </c>
      <c r="CF58" s="388">
        <f t="shared" si="67"/>
        <v>0</v>
      </c>
      <c r="CG58" s="388">
        <f t="shared" si="68"/>
        <v>0</v>
      </c>
      <c r="CH58" s="388">
        <f t="shared" si="69"/>
        <v>0</v>
      </c>
      <c r="CI58" s="388">
        <f t="shared" si="70"/>
        <v>0</v>
      </c>
      <c r="CJ58" s="388">
        <f t="shared" si="39"/>
        <v>0</v>
      </c>
      <c r="CK58" s="388" t="str">
        <f t="shared" si="40"/>
        <v/>
      </c>
      <c r="CL58" s="388">
        <f t="shared" si="41"/>
        <v>0</v>
      </c>
      <c r="CM58" s="388">
        <f t="shared" si="42"/>
        <v>0</v>
      </c>
      <c r="CN58" s="388" t="str">
        <f t="shared" si="43"/>
        <v>0348-00</v>
      </c>
    </row>
    <row r="59" spans="1:92" ht="15.75" thickBot="1">
      <c r="A59" s="377" t="s">
        <v>162</v>
      </c>
      <c r="B59" s="377" t="s">
        <v>163</v>
      </c>
      <c r="C59" s="377" t="s">
        <v>438</v>
      </c>
      <c r="D59" s="377" t="s">
        <v>439</v>
      </c>
      <c r="E59" s="377" t="s">
        <v>419</v>
      </c>
      <c r="F59" s="378" t="s">
        <v>167</v>
      </c>
      <c r="G59" s="377" t="s">
        <v>168</v>
      </c>
      <c r="H59" s="379"/>
      <c r="I59" s="379"/>
      <c r="J59" s="377" t="s">
        <v>169</v>
      </c>
      <c r="K59" s="377" t="s">
        <v>440</v>
      </c>
      <c r="L59" s="377" t="s">
        <v>182</v>
      </c>
      <c r="M59" s="377" t="s">
        <v>172</v>
      </c>
      <c r="N59" s="377" t="s">
        <v>214</v>
      </c>
      <c r="O59" s="380">
        <v>0</v>
      </c>
      <c r="P59" s="386">
        <v>1</v>
      </c>
      <c r="Q59" s="386">
        <v>0</v>
      </c>
      <c r="R59" s="381">
        <v>0</v>
      </c>
      <c r="S59" s="386">
        <v>0</v>
      </c>
      <c r="T59" s="381">
        <v>1379.72</v>
      </c>
      <c r="U59" s="381">
        <v>0</v>
      </c>
      <c r="V59" s="381">
        <v>117.16</v>
      </c>
      <c r="W59" s="381">
        <v>1379.72</v>
      </c>
      <c r="X59" s="381">
        <v>117.16</v>
      </c>
      <c r="Y59" s="381">
        <v>1379.72</v>
      </c>
      <c r="Z59" s="381">
        <v>117.16</v>
      </c>
      <c r="AA59" s="379"/>
      <c r="AB59" s="377" t="s">
        <v>45</v>
      </c>
      <c r="AC59" s="377" t="s">
        <v>45</v>
      </c>
      <c r="AD59" s="379"/>
      <c r="AE59" s="379"/>
      <c r="AF59" s="379"/>
      <c r="AG59" s="379"/>
      <c r="AH59" s="380">
        <v>0</v>
      </c>
      <c r="AI59" s="380">
        <v>0</v>
      </c>
      <c r="AJ59" s="379"/>
      <c r="AK59" s="379"/>
      <c r="AL59" s="377" t="s">
        <v>182</v>
      </c>
      <c r="AM59" s="379"/>
      <c r="AN59" s="379"/>
      <c r="AO59" s="380">
        <v>0</v>
      </c>
      <c r="AP59" s="386">
        <v>0</v>
      </c>
      <c r="AQ59" s="386">
        <v>0</v>
      </c>
      <c r="AR59" s="385"/>
      <c r="AS59" s="388">
        <f t="shared" si="27"/>
        <v>0</v>
      </c>
      <c r="AT59">
        <f t="shared" si="28"/>
        <v>0</v>
      </c>
      <c r="AU59" s="388" t="str">
        <f>IF(AT59=0,"",IF(AND(AT59=1,M59="F",SUMIF(C2:C112,C59,AS2:AS112)&lt;=1),SUMIF(C2:C112,C59,AS2:AS112),IF(AND(AT59=1,M59="F",SUMIF(C2:C112,C59,AS2:AS112)&gt;1),1,"")))</f>
        <v/>
      </c>
      <c r="AV59" s="388" t="str">
        <f>IF(AT59=0,"",IF(AND(AT59=3,M59="F",SUMIF(C2:C112,C59,AS2:AS112)&lt;=1),SUMIF(C2:C112,C59,AS2:AS112),IF(AND(AT59=3,M59="F",SUMIF(C2:C112,C59,AS2:AS112)&gt;1),1,"")))</f>
        <v/>
      </c>
      <c r="AW59" s="388">
        <f>SUMIF(C2:C112,C59,O2:O112)</f>
        <v>0</v>
      </c>
      <c r="AX59" s="388">
        <f>IF(AND(M59="F",AS59&lt;&gt;0),SUMIF(C2:C112,C59,W2:W112),0)</f>
        <v>0</v>
      </c>
      <c r="AY59" s="388" t="str">
        <f t="shared" si="29"/>
        <v/>
      </c>
      <c r="AZ59" s="388" t="str">
        <f t="shared" si="30"/>
        <v/>
      </c>
      <c r="BA59" s="388">
        <f t="shared" si="31"/>
        <v>0</v>
      </c>
      <c r="BB59" s="388">
        <f t="shared" si="44"/>
        <v>0</v>
      </c>
      <c r="BC59" s="388">
        <f t="shared" si="45"/>
        <v>0</v>
      </c>
      <c r="BD59" s="388">
        <f t="shared" si="46"/>
        <v>0</v>
      </c>
      <c r="BE59" s="388">
        <f t="shared" si="47"/>
        <v>0</v>
      </c>
      <c r="BF59" s="388">
        <f t="shared" si="48"/>
        <v>0</v>
      </c>
      <c r="BG59" s="388">
        <f t="shared" si="49"/>
        <v>0</v>
      </c>
      <c r="BH59" s="388">
        <f t="shared" si="50"/>
        <v>0</v>
      </c>
      <c r="BI59" s="388">
        <f t="shared" si="51"/>
        <v>0</v>
      </c>
      <c r="BJ59" s="388">
        <f t="shared" si="52"/>
        <v>0</v>
      </c>
      <c r="BK59" s="388">
        <f t="shared" si="53"/>
        <v>0</v>
      </c>
      <c r="BL59" s="388">
        <f t="shared" si="32"/>
        <v>0</v>
      </c>
      <c r="BM59" s="388">
        <f t="shared" si="33"/>
        <v>0</v>
      </c>
      <c r="BN59" s="388">
        <f t="shared" si="54"/>
        <v>0</v>
      </c>
      <c r="BO59" s="388">
        <f t="shared" si="55"/>
        <v>0</v>
      </c>
      <c r="BP59" s="388">
        <f t="shared" si="56"/>
        <v>0</v>
      </c>
      <c r="BQ59" s="388">
        <f t="shared" si="57"/>
        <v>0</v>
      </c>
      <c r="BR59" s="388">
        <f t="shared" si="58"/>
        <v>0</v>
      </c>
      <c r="BS59" s="388">
        <f t="shared" si="59"/>
        <v>0</v>
      </c>
      <c r="BT59" s="388">
        <f t="shared" si="60"/>
        <v>0</v>
      </c>
      <c r="BU59" s="388">
        <f t="shared" si="61"/>
        <v>0</v>
      </c>
      <c r="BV59" s="388">
        <f t="shared" si="62"/>
        <v>0</v>
      </c>
      <c r="BW59" s="388">
        <f t="shared" si="63"/>
        <v>0</v>
      </c>
      <c r="BX59" s="388">
        <f t="shared" si="34"/>
        <v>0</v>
      </c>
      <c r="BY59" s="388">
        <f t="shared" si="35"/>
        <v>0</v>
      </c>
      <c r="BZ59" s="388">
        <f t="shared" si="36"/>
        <v>0</v>
      </c>
      <c r="CA59" s="388">
        <f t="shared" si="37"/>
        <v>0</v>
      </c>
      <c r="CB59" s="388">
        <f t="shared" si="38"/>
        <v>0</v>
      </c>
      <c r="CC59" s="388">
        <f t="shared" si="64"/>
        <v>0</v>
      </c>
      <c r="CD59" s="388">
        <f t="shared" si="65"/>
        <v>0</v>
      </c>
      <c r="CE59" s="388">
        <f t="shared" si="66"/>
        <v>0</v>
      </c>
      <c r="CF59" s="388">
        <f t="shared" si="67"/>
        <v>0</v>
      </c>
      <c r="CG59" s="388">
        <f t="shared" si="68"/>
        <v>0</v>
      </c>
      <c r="CH59" s="388">
        <f t="shared" si="69"/>
        <v>0</v>
      </c>
      <c r="CI59" s="388">
        <f t="shared" si="70"/>
        <v>0</v>
      </c>
      <c r="CJ59" s="388">
        <f t="shared" si="39"/>
        <v>0</v>
      </c>
      <c r="CK59" s="388" t="str">
        <f t="shared" si="40"/>
        <v/>
      </c>
      <c r="CL59" s="388">
        <f t="shared" si="41"/>
        <v>1379.72</v>
      </c>
      <c r="CM59" s="388">
        <f t="shared" si="42"/>
        <v>117.16</v>
      </c>
      <c r="CN59" s="388" t="str">
        <f t="shared" si="43"/>
        <v>0348-00</v>
      </c>
    </row>
    <row r="60" spans="1:92" ht="15.75" thickBot="1">
      <c r="A60" s="377" t="s">
        <v>162</v>
      </c>
      <c r="B60" s="377" t="s">
        <v>163</v>
      </c>
      <c r="C60" s="377" t="s">
        <v>441</v>
      </c>
      <c r="D60" s="377" t="s">
        <v>377</v>
      </c>
      <c r="E60" s="377" t="s">
        <v>419</v>
      </c>
      <c r="F60" s="378" t="s">
        <v>167</v>
      </c>
      <c r="G60" s="377" t="s">
        <v>168</v>
      </c>
      <c r="H60" s="379"/>
      <c r="I60" s="379"/>
      <c r="J60" s="377" t="s">
        <v>169</v>
      </c>
      <c r="K60" s="377" t="s">
        <v>378</v>
      </c>
      <c r="L60" s="377" t="s">
        <v>202</v>
      </c>
      <c r="M60" s="377" t="s">
        <v>172</v>
      </c>
      <c r="N60" s="377" t="s">
        <v>214</v>
      </c>
      <c r="O60" s="380">
        <v>0</v>
      </c>
      <c r="P60" s="386">
        <v>1</v>
      </c>
      <c r="Q60" s="386">
        <v>0</v>
      </c>
      <c r="R60" s="381">
        <v>0</v>
      </c>
      <c r="S60" s="386">
        <v>0</v>
      </c>
      <c r="T60" s="381">
        <v>12146.11</v>
      </c>
      <c r="U60" s="381">
        <v>0</v>
      </c>
      <c r="V60" s="381">
        <v>1045.3699999999999</v>
      </c>
      <c r="W60" s="381">
        <v>19653.419999999998</v>
      </c>
      <c r="X60" s="381">
        <v>1682.21</v>
      </c>
      <c r="Y60" s="381">
        <v>19653.419999999998</v>
      </c>
      <c r="Z60" s="381">
        <v>1682.21</v>
      </c>
      <c r="AA60" s="379"/>
      <c r="AB60" s="377" t="s">
        <v>45</v>
      </c>
      <c r="AC60" s="377" t="s">
        <v>45</v>
      </c>
      <c r="AD60" s="379"/>
      <c r="AE60" s="379"/>
      <c r="AF60" s="379"/>
      <c r="AG60" s="379"/>
      <c r="AH60" s="380">
        <v>0</v>
      </c>
      <c r="AI60" s="380">
        <v>0</v>
      </c>
      <c r="AJ60" s="379"/>
      <c r="AK60" s="379"/>
      <c r="AL60" s="377" t="s">
        <v>182</v>
      </c>
      <c r="AM60" s="379"/>
      <c r="AN60" s="379"/>
      <c r="AO60" s="380">
        <v>0</v>
      </c>
      <c r="AP60" s="386">
        <v>0</v>
      </c>
      <c r="AQ60" s="386">
        <v>0</v>
      </c>
      <c r="AR60" s="385"/>
      <c r="AS60" s="388">
        <f t="shared" si="27"/>
        <v>0</v>
      </c>
      <c r="AT60">
        <f t="shared" si="28"/>
        <v>0</v>
      </c>
      <c r="AU60" s="388" t="str">
        <f>IF(AT60=0,"",IF(AND(AT60=1,M60="F",SUMIF(C2:C112,C60,AS2:AS112)&lt;=1),SUMIF(C2:C112,C60,AS2:AS112),IF(AND(AT60=1,M60="F",SUMIF(C2:C112,C60,AS2:AS112)&gt;1),1,"")))</f>
        <v/>
      </c>
      <c r="AV60" s="388" t="str">
        <f>IF(AT60=0,"",IF(AND(AT60=3,M60="F",SUMIF(C2:C112,C60,AS2:AS112)&lt;=1),SUMIF(C2:C112,C60,AS2:AS112),IF(AND(AT60=3,M60="F",SUMIF(C2:C112,C60,AS2:AS112)&gt;1),1,"")))</f>
        <v/>
      </c>
      <c r="AW60" s="388">
        <f>SUMIF(C2:C112,C60,O2:O112)</f>
        <v>0</v>
      </c>
      <c r="AX60" s="388">
        <f>IF(AND(M60="F",AS60&lt;&gt;0),SUMIF(C2:C112,C60,W2:W112),0)</f>
        <v>0</v>
      </c>
      <c r="AY60" s="388" t="str">
        <f t="shared" si="29"/>
        <v/>
      </c>
      <c r="AZ60" s="388" t="str">
        <f t="shared" si="30"/>
        <v/>
      </c>
      <c r="BA60" s="388">
        <f t="shared" si="31"/>
        <v>0</v>
      </c>
      <c r="BB60" s="388">
        <f t="shared" si="44"/>
        <v>0</v>
      </c>
      <c r="BC60" s="388">
        <f t="shared" si="45"/>
        <v>0</v>
      </c>
      <c r="BD60" s="388">
        <f t="shared" si="46"/>
        <v>0</v>
      </c>
      <c r="BE60" s="388">
        <f t="shared" si="47"/>
        <v>0</v>
      </c>
      <c r="BF60" s="388">
        <f t="shared" si="48"/>
        <v>0</v>
      </c>
      <c r="BG60" s="388">
        <f t="shared" si="49"/>
        <v>0</v>
      </c>
      <c r="BH60" s="388">
        <f t="shared" si="50"/>
        <v>0</v>
      </c>
      <c r="BI60" s="388">
        <f t="shared" si="51"/>
        <v>0</v>
      </c>
      <c r="BJ60" s="388">
        <f t="shared" si="52"/>
        <v>0</v>
      </c>
      <c r="BK60" s="388">
        <f t="shared" si="53"/>
        <v>0</v>
      </c>
      <c r="BL60" s="388">
        <f t="shared" si="32"/>
        <v>0</v>
      </c>
      <c r="BM60" s="388">
        <f t="shared" si="33"/>
        <v>0</v>
      </c>
      <c r="BN60" s="388">
        <f t="shared" si="54"/>
        <v>0</v>
      </c>
      <c r="BO60" s="388">
        <f t="shared" si="55"/>
        <v>0</v>
      </c>
      <c r="BP60" s="388">
        <f t="shared" si="56"/>
        <v>0</v>
      </c>
      <c r="BQ60" s="388">
        <f t="shared" si="57"/>
        <v>0</v>
      </c>
      <c r="BR60" s="388">
        <f t="shared" si="58"/>
        <v>0</v>
      </c>
      <c r="BS60" s="388">
        <f t="shared" si="59"/>
        <v>0</v>
      </c>
      <c r="BT60" s="388">
        <f t="shared" si="60"/>
        <v>0</v>
      </c>
      <c r="BU60" s="388">
        <f t="shared" si="61"/>
        <v>0</v>
      </c>
      <c r="BV60" s="388">
        <f t="shared" si="62"/>
        <v>0</v>
      </c>
      <c r="BW60" s="388">
        <f t="shared" si="63"/>
        <v>0</v>
      </c>
      <c r="BX60" s="388">
        <f t="shared" si="34"/>
        <v>0</v>
      </c>
      <c r="BY60" s="388">
        <f t="shared" si="35"/>
        <v>0</v>
      </c>
      <c r="BZ60" s="388">
        <f t="shared" si="36"/>
        <v>0</v>
      </c>
      <c r="CA60" s="388">
        <f t="shared" si="37"/>
        <v>0</v>
      </c>
      <c r="CB60" s="388">
        <f t="shared" si="38"/>
        <v>0</v>
      </c>
      <c r="CC60" s="388">
        <f t="shared" si="64"/>
        <v>0</v>
      </c>
      <c r="CD60" s="388">
        <f t="shared" si="65"/>
        <v>0</v>
      </c>
      <c r="CE60" s="388">
        <f t="shared" si="66"/>
        <v>0</v>
      </c>
      <c r="CF60" s="388">
        <f t="shared" si="67"/>
        <v>0</v>
      </c>
      <c r="CG60" s="388">
        <f t="shared" si="68"/>
        <v>0</v>
      </c>
      <c r="CH60" s="388">
        <f t="shared" si="69"/>
        <v>0</v>
      </c>
      <c r="CI60" s="388">
        <f t="shared" si="70"/>
        <v>0</v>
      </c>
      <c r="CJ60" s="388">
        <f t="shared" si="39"/>
        <v>0</v>
      </c>
      <c r="CK60" s="388" t="str">
        <f t="shared" si="40"/>
        <v/>
      </c>
      <c r="CL60" s="388">
        <f t="shared" si="41"/>
        <v>12146.11</v>
      </c>
      <c r="CM60" s="388">
        <f t="shared" si="42"/>
        <v>1045.3699999999999</v>
      </c>
      <c r="CN60" s="388" t="str">
        <f t="shared" si="43"/>
        <v>0348-00</v>
      </c>
    </row>
    <row r="61" spans="1:92" ht="15.75" thickBot="1">
      <c r="A61" s="377" t="s">
        <v>162</v>
      </c>
      <c r="B61" s="377" t="s">
        <v>163</v>
      </c>
      <c r="C61" s="377" t="s">
        <v>442</v>
      </c>
      <c r="D61" s="377" t="s">
        <v>443</v>
      </c>
      <c r="E61" s="377" t="s">
        <v>419</v>
      </c>
      <c r="F61" s="378" t="s">
        <v>167</v>
      </c>
      <c r="G61" s="377" t="s">
        <v>168</v>
      </c>
      <c r="H61" s="379"/>
      <c r="I61" s="379"/>
      <c r="J61" s="377" t="s">
        <v>169</v>
      </c>
      <c r="K61" s="377" t="s">
        <v>444</v>
      </c>
      <c r="L61" s="377" t="s">
        <v>177</v>
      </c>
      <c r="M61" s="377" t="s">
        <v>172</v>
      </c>
      <c r="N61" s="377" t="s">
        <v>173</v>
      </c>
      <c r="O61" s="380">
        <v>1</v>
      </c>
      <c r="P61" s="386">
        <v>1</v>
      </c>
      <c r="Q61" s="386">
        <v>1</v>
      </c>
      <c r="R61" s="381">
        <v>80</v>
      </c>
      <c r="S61" s="386">
        <v>1</v>
      </c>
      <c r="T61" s="381">
        <v>52272.01</v>
      </c>
      <c r="U61" s="381">
        <v>0</v>
      </c>
      <c r="V61" s="381">
        <v>22954.66</v>
      </c>
      <c r="W61" s="381">
        <v>60777.599999999999</v>
      </c>
      <c r="X61" s="381">
        <v>25643.119999999999</v>
      </c>
      <c r="Y61" s="381">
        <v>60777.599999999999</v>
      </c>
      <c r="Z61" s="381">
        <v>26340.05</v>
      </c>
      <c r="AA61" s="377" t="s">
        <v>445</v>
      </c>
      <c r="AB61" s="377" t="s">
        <v>446</v>
      </c>
      <c r="AC61" s="377" t="s">
        <v>447</v>
      </c>
      <c r="AD61" s="377" t="s">
        <v>188</v>
      </c>
      <c r="AE61" s="377" t="s">
        <v>444</v>
      </c>
      <c r="AF61" s="377" t="s">
        <v>237</v>
      </c>
      <c r="AG61" s="377" t="s">
        <v>179</v>
      </c>
      <c r="AH61" s="382">
        <v>29.22</v>
      </c>
      <c r="AI61" s="380">
        <v>6602</v>
      </c>
      <c r="AJ61" s="377" t="s">
        <v>180</v>
      </c>
      <c r="AK61" s="377" t="s">
        <v>181</v>
      </c>
      <c r="AL61" s="377" t="s">
        <v>182</v>
      </c>
      <c r="AM61" s="377" t="s">
        <v>183</v>
      </c>
      <c r="AN61" s="377" t="s">
        <v>66</v>
      </c>
      <c r="AO61" s="380">
        <v>80</v>
      </c>
      <c r="AP61" s="386">
        <v>1</v>
      </c>
      <c r="AQ61" s="386">
        <v>1</v>
      </c>
      <c r="AR61" s="384" t="s">
        <v>184</v>
      </c>
      <c r="AS61" s="388">
        <f t="shared" si="27"/>
        <v>1</v>
      </c>
      <c r="AT61">
        <f t="shared" si="28"/>
        <v>1</v>
      </c>
      <c r="AU61" s="388">
        <f>IF(AT61=0,"",IF(AND(AT61=1,M61="F",SUMIF(C2:C112,C61,AS2:AS112)&lt;=1),SUMIF(C2:C112,C61,AS2:AS112),IF(AND(AT61=1,M61="F",SUMIF(C2:C112,C61,AS2:AS112)&gt;1),1,"")))</f>
        <v>1</v>
      </c>
      <c r="AV61" s="388" t="str">
        <f>IF(AT61=0,"",IF(AND(AT61=3,M61="F",SUMIF(C2:C112,C61,AS2:AS112)&lt;=1),SUMIF(C2:C112,C61,AS2:AS112),IF(AND(AT61=3,M61="F",SUMIF(C2:C112,C61,AS2:AS112)&gt;1),1,"")))</f>
        <v/>
      </c>
      <c r="AW61" s="388">
        <f>SUMIF(C2:C112,C61,O2:O112)</f>
        <v>1</v>
      </c>
      <c r="AX61" s="388">
        <f>IF(AND(M61="F",AS61&lt;&gt;0),SUMIF(C2:C112,C61,W2:W112),0)</f>
        <v>60777.599999999999</v>
      </c>
      <c r="AY61" s="388">
        <f t="shared" si="29"/>
        <v>60777.599999999999</v>
      </c>
      <c r="AZ61" s="388" t="str">
        <f t="shared" si="30"/>
        <v/>
      </c>
      <c r="BA61" s="388">
        <f t="shared" si="31"/>
        <v>0</v>
      </c>
      <c r="BB61" s="388">
        <f t="shared" si="44"/>
        <v>12500</v>
      </c>
      <c r="BC61" s="388">
        <f t="shared" si="45"/>
        <v>0</v>
      </c>
      <c r="BD61" s="388">
        <f t="shared" si="46"/>
        <v>3768.2111999999997</v>
      </c>
      <c r="BE61" s="388">
        <f t="shared" si="47"/>
        <v>881.27520000000004</v>
      </c>
      <c r="BF61" s="388">
        <f t="shared" si="48"/>
        <v>7256.8454400000001</v>
      </c>
      <c r="BG61" s="388">
        <f t="shared" si="49"/>
        <v>438.20649600000002</v>
      </c>
      <c r="BH61" s="388">
        <f t="shared" si="50"/>
        <v>0</v>
      </c>
      <c r="BI61" s="388">
        <f t="shared" si="51"/>
        <v>336.40401600000001</v>
      </c>
      <c r="BJ61" s="388">
        <f t="shared" si="52"/>
        <v>461.90976000000001</v>
      </c>
      <c r="BK61" s="388">
        <f t="shared" si="53"/>
        <v>0</v>
      </c>
      <c r="BL61" s="388">
        <f t="shared" si="32"/>
        <v>13142.852112</v>
      </c>
      <c r="BM61" s="388">
        <f t="shared" si="33"/>
        <v>0</v>
      </c>
      <c r="BN61" s="388">
        <f t="shared" si="54"/>
        <v>13750</v>
      </c>
      <c r="BO61" s="388">
        <f t="shared" si="55"/>
        <v>0</v>
      </c>
      <c r="BP61" s="388">
        <f t="shared" si="56"/>
        <v>3768.2111999999997</v>
      </c>
      <c r="BQ61" s="388">
        <f t="shared" si="57"/>
        <v>881.27520000000004</v>
      </c>
      <c r="BR61" s="388">
        <f t="shared" si="58"/>
        <v>6794.9356799999996</v>
      </c>
      <c r="BS61" s="388">
        <f t="shared" si="59"/>
        <v>438.20649600000002</v>
      </c>
      <c r="BT61" s="388">
        <f t="shared" si="60"/>
        <v>0</v>
      </c>
      <c r="BU61" s="388">
        <f t="shared" si="61"/>
        <v>336.40401600000001</v>
      </c>
      <c r="BV61" s="388">
        <f t="shared" si="62"/>
        <v>370.74336</v>
      </c>
      <c r="BW61" s="388">
        <f t="shared" si="63"/>
        <v>0</v>
      </c>
      <c r="BX61" s="388">
        <f t="shared" si="34"/>
        <v>12589.775952000002</v>
      </c>
      <c r="BY61" s="388">
        <f t="shared" si="35"/>
        <v>0</v>
      </c>
      <c r="BZ61" s="388">
        <f t="shared" si="36"/>
        <v>1250</v>
      </c>
      <c r="CA61" s="388">
        <f t="shared" si="37"/>
        <v>0</v>
      </c>
      <c r="CB61" s="388">
        <f t="shared" si="38"/>
        <v>0</v>
      </c>
      <c r="CC61" s="388">
        <f t="shared" si="64"/>
        <v>0</v>
      </c>
      <c r="CD61" s="388">
        <f t="shared" si="65"/>
        <v>-461.90976000000057</v>
      </c>
      <c r="CE61" s="388">
        <f t="shared" si="66"/>
        <v>0</v>
      </c>
      <c r="CF61" s="388">
        <f t="shared" si="67"/>
        <v>0</v>
      </c>
      <c r="CG61" s="388">
        <f t="shared" si="68"/>
        <v>0</v>
      </c>
      <c r="CH61" s="388">
        <f t="shared" si="69"/>
        <v>-91.166399999999967</v>
      </c>
      <c r="CI61" s="388">
        <f t="shared" si="70"/>
        <v>0</v>
      </c>
      <c r="CJ61" s="388">
        <f t="shared" si="39"/>
        <v>-553.07616000000053</v>
      </c>
      <c r="CK61" s="388" t="str">
        <f t="shared" si="40"/>
        <v/>
      </c>
      <c r="CL61" s="388" t="str">
        <f t="shared" si="41"/>
        <v/>
      </c>
      <c r="CM61" s="388" t="str">
        <f t="shared" si="42"/>
        <v/>
      </c>
      <c r="CN61" s="388" t="str">
        <f t="shared" si="43"/>
        <v>0348-00</v>
      </c>
    </row>
    <row r="62" spans="1:92" ht="15.75" thickBot="1">
      <c r="A62" s="377" t="s">
        <v>162</v>
      </c>
      <c r="B62" s="377" t="s">
        <v>163</v>
      </c>
      <c r="C62" s="377" t="s">
        <v>339</v>
      </c>
      <c r="D62" s="377" t="s">
        <v>165</v>
      </c>
      <c r="E62" s="377" t="s">
        <v>419</v>
      </c>
      <c r="F62" s="378" t="s">
        <v>167</v>
      </c>
      <c r="G62" s="377" t="s">
        <v>168</v>
      </c>
      <c r="H62" s="379"/>
      <c r="I62" s="379"/>
      <c r="J62" s="377" t="s">
        <v>169</v>
      </c>
      <c r="K62" s="377" t="s">
        <v>170</v>
      </c>
      <c r="L62" s="377" t="s">
        <v>171</v>
      </c>
      <c r="M62" s="377" t="s">
        <v>172</v>
      </c>
      <c r="N62" s="377" t="s">
        <v>214</v>
      </c>
      <c r="O62" s="380">
        <v>0</v>
      </c>
      <c r="P62" s="386">
        <v>0</v>
      </c>
      <c r="Q62" s="386">
        <v>0</v>
      </c>
      <c r="R62" s="381">
        <v>0</v>
      </c>
      <c r="S62" s="386">
        <v>0</v>
      </c>
      <c r="T62" s="381">
        <v>9082.08</v>
      </c>
      <c r="U62" s="381">
        <v>100.05</v>
      </c>
      <c r="V62" s="381">
        <v>790.48</v>
      </c>
      <c r="W62" s="381">
        <v>0</v>
      </c>
      <c r="X62" s="381">
        <v>0</v>
      </c>
      <c r="Y62" s="381">
        <v>0</v>
      </c>
      <c r="Z62" s="381">
        <v>0</v>
      </c>
      <c r="AA62" s="379"/>
      <c r="AB62" s="377" t="s">
        <v>45</v>
      </c>
      <c r="AC62" s="377" t="s">
        <v>45</v>
      </c>
      <c r="AD62" s="379"/>
      <c r="AE62" s="379"/>
      <c r="AF62" s="379"/>
      <c r="AG62" s="379"/>
      <c r="AH62" s="380">
        <v>0</v>
      </c>
      <c r="AI62" s="380">
        <v>0</v>
      </c>
      <c r="AJ62" s="379"/>
      <c r="AK62" s="379"/>
      <c r="AL62" s="377" t="s">
        <v>182</v>
      </c>
      <c r="AM62" s="379"/>
      <c r="AN62" s="379"/>
      <c r="AO62" s="380">
        <v>0</v>
      </c>
      <c r="AP62" s="386">
        <v>0</v>
      </c>
      <c r="AQ62" s="386">
        <v>0</v>
      </c>
      <c r="AR62" s="385"/>
      <c r="AS62" s="388">
        <f t="shared" si="27"/>
        <v>0</v>
      </c>
      <c r="AT62">
        <f t="shared" si="28"/>
        <v>0</v>
      </c>
      <c r="AU62" s="388" t="str">
        <f>IF(AT62=0,"",IF(AND(AT62=1,M62="F",SUMIF(C2:C112,C62,AS2:AS112)&lt;=1),SUMIF(C2:C112,C62,AS2:AS112),IF(AND(AT62=1,M62="F",SUMIF(C2:C112,C62,AS2:AS112)&gt;1),1,"")))</f>
        <v/>
      </c>
      <c r="AV62" s="388" t="str">
        <f>IF(AT62=0,"",IF(AND(AT62=3,M62="F",SUMIF(C2:C112,C62,AS2:AS112)&lt;=1),SUMIF(C2:C112,C62,AS2:AS112),IF(AND(AT62=3,M62="F",SUMIF(C2:C112,C62,AS2:AS112)&gt;1),1,"")))</f>
        <v/>
      </c>
      <c r="AW62" s="388">
        <f>SUMIF(C2:C112,C62,O2:O112)</f>
        <v>0</v>
      </c>
      <c r="AX62" s="388">
        <f>IF(AND(M62="F",AS62&lt;&gt;0),SUMIF(C2:C112,C62,W2:W112),0)</f>
        <v>0</v>
      </c>
      <c r="AY62" s="388" t="str">
        <f t="shared" si="29"/>
        <v/>
      </c>
      <c r="AZ62" s="388" t="str">
        <f t="shared" si="30"/>
        <v/>
      </c>
      <c r="BA62" s="388">
        <f t="shared" si="31"/>
        <v>0</v>
      </c>
      <c r="BB62" s="388">
        <f t="shared" si="44"/>
        <v>0</v>
      </c>
      <c r="BC62" s="388">
        <f t="shared" si="45"/>
        <v>0</v>
      </c>
      <c r="BD62" s="388">
        <f t="shared" si="46"/>
        <v>0</v>
      </c>
      <c r="BE62" s="388">
        <f t="shared" si="47"/>
        <v>0</v>
      </c>
      <c r="BF62" s="388">
        <f t="shared" si="48"/>
        <v>0</v>
      </c>
      <c r="BG62" s="388">
        <f t="shared" si="49"/>
        <v>0</v>
      </c>
      <c r="BH62" s="388">
        <f t="shared" si="50"/>
        <v>0</v>
      </c>
      <c r="BI62" s="388">
        <f t="shared" si="51"/>
        <v>0</v>
      </c>
      <c r="BJ62" s="388">
        <f t="shared" si="52"/>
        <v>0</v>
      </c>
      <c r="BK62" s="388">
        <f t="shared" si="53"/>
        <v>0</v>
      </c>
      <c r="BL62" s="388">
        <f t="shared" si="32"/>
        <v>0</v>
      </c>
      <c r="BM62" s="388">
        <f t="shared" si="33"/>
        <v>0</v>
      </c>
      <c r="BN62" s="388">
        <f t="shared" si="54"/>
        <v>0</v>
      </c>
      <c r="BO62" s="388">
        <f t="shared" si="55"/>
        <v>0</v>
      </c>
      <c r="BP62" s="388">
        <f t="shared" si="56"/>
        <v>0</v>
      </c>
      <c r="BQ62" s="388">
        <f t="shared" si="57"/>
        <v>0</v>
      </c>
      <c r="BR62" s="388">
        <f t="shared" si="58"/>
        <v>0</v>
      </c>
      <c r="BS62" s="388">
        <f t="shared" si="59"/>
        <v>0</v>
      </c>
      <c r="BT62" s="388">
        <f t="shared" si="60"/>
        <v>0</v>
      </c>
      <c r="BU62" s="388">
        <f t="shared" si="61"/>
        <v>0</v>
      </c>
      <c r="BV62" s="388">
        <f t="shared" si="62"/>
        <v>0</v>
      </c>
      <c r="BW62" s="388">
        <f t="shared" si="63"/>
        <v>0</v>
      </c>
      <c r="BX62" s="388">
        <f t="shared" si="34"/>
        <v>0</v>
      </c>
      <c r="BY62" s="388">
        <f t="shared" si="35"/>
        <v>0</v>
      </c>
      <c r="BZ62" s="388">
        <f t="shared" si="36"/>
        <v>0</v>
      </c>
      <c r="CA62" s="388">
        <f t="shared" si="37"/>
        <v>0</v>
      </c>
      <c r="CB62" s="388">
        <f t="shared" si="38"/>
        <v>0</v>
      </c>
      <c r="CC62" s="388">
        <f t="shared" si="64"/>
        <v>0</v>
      </c>
      <c r="CD62" s="388">
        <f t="shared" si="65"/>
        <v>0</v>
      </c>
      <c r="CE62" s="388">
        <f t="shared" si="66"/>
        <v>0</v>
      </c>
      <c r="CF62" s="388">
        <f t="shared" si="67"/>
        <v>0</v>
      </c>
      <c r="CG62" s="388">
        <f t="shared" si="68"/>
        <v>0</v>
      </c>
      <c r="CH62" s="388">
        <f t="shared" si="69"/>
        <v>0</v>
      </c>
      <c r="CI62" s="388">
        <f t="shared" si="70"/>
        <v>0</v>
      </c>
      <c r="CJ62" s="388">
        <f t="shared" si="39"/>
        <v>0</v>
      </c>
      <c r="CK62" s="388" t="str">
        <f t="shared" si="40"/>
        <v/>
      </c>
      <c r="CL62" s="388">
        <f t="shared" si="41"/>
        <v>9182.1299999999992</v>
      </c>
      <c r="CM62" s="388">
        <f t="shared" si="42"/>
        <v>790.48</v>
      </c>
      <c r="CN62" s="388" t="str">
        <f t="shared" si="43"/>
        <v>0348-00</v>
      </c>
    </row>
    <row r="63" spans="1:92" ht="15.75" thickBot="1">
      <c r="A63" s="377" t="s">
        <v>162</v>
      </c>
      <c r="B63" s="377" t="s">
        <v>163</v>
      </c>
      <c r="C63" s="377" t="s">
        <v>248</v>
      </c>
      <c r="D63" s="377" t="s">
        <v>249</v>
      </c>
      <c r="E63" s="377" t="s">
        <v>419</v>
      </c>
      <c r="F63" s="378" t="s">
        <v>167</v>
      </c>
      <c r="G63" s="377" t="s">
        <v>168</v>
      </c>
      <c r="H63" s="379"/>
      <c r="I63" s="379"/>
      <c r="J63" s="377" t="s">
        <v>192</v>
      </c>
      <c r="K63" s="377" t="s">
        <v>250</v>
      </c>
      <c r="L63" s="377" t="s">
        <v>179</v>
      </c>
      <c r="M63" s="377" t="s">
        <v>172</v>
      </c>
      <c r="N63" s="377" t="s">
        <v>173</v>
      </c>
      <c r="O63" s="380">
        <v>1</v>
      </c>
      <c r="P63" s="386">
        <v>0.25</v>
      </c>
      <c r="Q63" s="386">
        <v>0.25</v>
      </c>
      <c r="R63" s="381">
        <v>80</v>
      </c>
      <c r="S63" s="386">
        <v>0.25</v>
      </c>
      <c r="T63" s="381">
        <v>8346.2199999999993</v>
      </c>
      <c r="U63" s="381">
        <v>0</v>
      </c>
      <c r="V63" s="381">
        <v>4537.7299999999996</v>
      </c>
      <c r="W63" s="381">
        <v>9386</v>
      </c>
      <c r="X63" s="381">
        <v>5154.71</v>
      </c>
      <c r="Y63" s="381">
        <v>9386</v>
      </c>
      <c r="Z63" s="381">
        <v>5381.8</v>
      </c>
      <c r="AA63" s="377" t="s">
        <v>251</v>
      </c>
      <c r="AB63" s="377" t="s">
        <v>252</v>
      </c>
      <c r="AC63" s="377" t="s">
        <v>253</v>
      </c>
      <c r="AD63" s="377" t="s">
        <v>254</v>
      </c>
      <c r="AE63" s="377" t="s">
        <v>250</v>
      </c>
      <c r="AF63" s="377" t="s">
        <v>210</v>
      </c>
      <c r="AG63" s="377" t="s">
        <v>179</v>
      </c>
      <c r="AH63" s="382">
        <v>18.05</v>
      </c>
      <c r="AI63" s="382">
        <v>24219.9</v>
      </c>
      <c r="AJ63" s="377" t="s">
        <v>180</v>
      </c>
      <c r="AK63" s="377" t="s">
        <v>181</v>
      </c>
      <c r="AL63" s="377" t="s">
        <v>182</v>
      </c>
      <c r="AM63" s="377" t="s">
        <v>183</v>
      </c>
      <c r="AN63" s="377" t="s">
        <v>66</v>
      </c>
      <c r="AO63" s="380">
        <v>80</v>
      </c>
      <c r="AP63" s="386">
        <v>1</v>
      </c>
      <c r="AQ63" s="386">
        <v>0.25</v>
      </c>
      <c r="AR63" s="384" t="s">
        <v>184</v>
      </c>
      <c r="AS63" s="388">
        <f t="shared" si="27"/>
        <v>0.25</v>
      </c>
      <c r="AT63">
        <f t="shared" si="28"/>
        <v>1</v>
      </c>
      <c r="AU63" s="388">
        <f>IF(AT63=0,"",IF(AND(AT63=1,M63="F",SUMIF(C2:C112,C63,AS2:AS112)&lt;=1),SUMIF(C2:C112,C63,AS2:AS112),IF(AND(AT63=1,M63="F",SUMIF(C2:C112,C63,AS2:AS112)&gt;1),1,"")))</f>
        <v>1</v>
      </c>
      <c r="AV63" s="388" t="str">
        <f>IF(AT63=0,"",IF(AND(AT63=3,M63="F",SUMIF(C2:C112,C63,AS2:AS112)&lt;=1),SUMIF(C2:C112,C63,AS2:AS112),IF(AND(AT63=3,M63="F",SUMIF(C2:C112,C63,AS2:AS112)&gt;1),1,"")))</f>
        <v/>
      </c>
      <c r="AW63" s="388">
        <f>SUMIF(C2:C112,C63,O2:O112)</f>
        <v>2</v>
      </c>
      <c r="AX63" s="388">
        <f>IF(AND(M63="F",AS63&lt;&gt;0),SUMIF(C2:C112,C63,W2:W112),0)</f>
        <v>37544</v>
      </c>
      <c r="AY63" s="388">
        <f t="shared" si="29"/>
        <v>9386</v>
      </c>
      <c r="AZ63" s="388" t="str">
        <f t="shared" si="30"/>
        <v/>
      </c>
      <c r="BA63" s="388">
        <f t="shared" si="31"/>
        <v>0</v>
      </c>
      <c r="BB63" s="388">
        <f t="shared" si="44"/>
        <v>3125</v>
      </c>
      <c r="BC63" s="388">
        <f t="shared" si="45"/>
        <v>0</v>
      </c>
      <c r="BD63" s="388">
        <f t="shared" si="46"/>
        <v>581.93200000000002</v>
      </c>
      <c r="BE63" s="388">
        <f t="shared" si="47"/>
        <v>136.09700000000001</v>
      </c>
      <c r="BF63" s="388">
        <f t="shared" si="48"/>
        <v>1120.6884</v>
      </c>
      <c r="BG63" s="388">
        <f t="shared" si="49"/>
        <v>67.673060000000007</v>
      </c>
      <c r="BH63" s="388">
        <f t="shared" si="50"/>
        <v>0</v>
      </c>
      <c r="BI63" s="388">
        <f t="shared" si="51"/>
        <v>51.951509999999999</v>
      </c>
      <c r="BJ63" s="388">
        <f t="shared" si="52"/>
        <v>71.333600000000004</v>
      </c>
      <c r="BK63" s="388">
        <f t="shared" si="53"/>
        <v>0</v>
      </c>
      <c r="BL63" s="388">
        <f t="shared" si="32"/>
        <v>2029.6755700000001</v>
      </c>
      <c r="BM63" s="388">
        <f t="shared" si="33"/>
        <v>0</v>
      </c>
      <c r="BN63" s="388">
        <f t="shared" si="54"/>
        <v>3437.5</v>
      </c>
      <c r="BO63" s="388">
        <f t="shared" si="55"/>
        <v>0</v>
      </c>
      <c r="BP63" s="388">
        <f t="shared" si="56"/>
        <v>581.93200000000002</v>
      </c>
      <c r="BQ63" s="388">
        <f t="shared" si="57"/>
        <v>136.09700000000001</v>
      </c>
      <c r="BR63" s="388">
        <f t="shared" si="58"/>
        <v>1049.3548000000001</v>
      </c>
      <c r="BS63" s="388">
        <f t="shared" si="59"/>
        <v>67.673060000000007</v>
      </c>
      <c r="BT63" s="388">
        <f t="shared" si="60"/>
        <v>0</v>
      </c>
      <c r="BU63" s="388">
        <f t="shared" si="61"/>
        <v>51.951509999999999</v>
      </c>
      <c r="BV63" s="388">
        <f t="shared" si="62"/>
        <v>57.254600000000003</v>
      </c>
      <c r="BW63" s="388">
        <f t="shared" si="63"/>
        <v>0</v>
      </c>
      <c r="BX63" s="388">
        <f t="shared" si="34"/>
        <v>1944.2629700000002</v>
      </c>
      <c r="BY63" s="388">
        <f t="shared" si="35"/>
        <v>0</v>
      </c>
      <c r="BZ63" s="388">
        <f t="shared" si="36"/>
        <v>312.5</v>
      </c>
      <c r="CA63" s="388">
        <f t="shared" si="37"/>
        <v>0</v>
      </c>
      <c r="CB63" s="388">
        <f t="shared" si="38"/>
        <v>0</v>
      </c>
      <c r="CC63" s="388">
        <f t="shared" si="64"/>
        <v>0</v>
      </c>
      <c r="CD63" s="388">
        <f t="shared" si="65"/>
        <v>-71.333600000000089</v>
      </c>
      <c r="CE63" s="388">
        <f t="shared" si="66"/>
        <v>0</v>
      </c>
      <c r="CF63" s="388">
        <f t="shared" si="67"/>
        <v>0</v>
      </c>
      <c r="CG63" s="388">
        <f t="shared" si="68"/>
        <v>0</v>
      </c>
      <c r="CH63" s="388">
        <f t="shared" si="69"/>
        <v>-14.078999999999997</v>
      </c>
      <c r="CI63" s="388">
        <f t="shared" si="70"/>
        <v>0</v>
      </c>
      <c r="CJ63" s="388">
        <f t="shared" si="39"/>
        <v>-85.412600000000083</v>
      </c>
      <c r="CK63" s="388" t="str">
        <f t="shared" si="40"/>
        <v/>
      </c>
      <c r="CL63" s="388" t="str">
        <f t="shared" si="41"/>
        <v/>
      </c>
      <c r="CM63" s="388" t="str">
        <f t="shared" si="42"/>
        <v/>
      </c>
      <c r="CN63" s="388" t="str">
        <f t="shared" si="43"/>
        <v>0348-00</v>
      </c>
    </row>
    <row r="64" spans="1:92" ht="15.75" thickBot="1">
      <c r="A64" s="377" t="s">
        <v>162</v>
      </c>
      <c r="B64" s="377" t="s">
        <v>163</v>
      </c>
      <c r="C64" s="377" t="s">
        <v>448</v>
      </c>
      <c r="D64" s="377" t="s">
        <v>377</v>
      </c>
      <c r="E64" s="377" t="s">
        <v>419</v>
      </c>
      <c r="F64" s="378" t="s">
        <v>167</v>
      </c>
      <c r="G64" s="377" t="s">
        <v>168</v>
      </c>
      <c r="H64" s="379"/>
      <c r="I64" s="379"/>
      <c r="J64" s="377" t="s">
        <v>169</v>
      </c>
      <c r="K64" s="377" t="s">
        <v>378</v>
      </c>
      <c r="L64" s="377" t="s">
        <v>202</v>
      </c>
      <c r="M64" s="377" t="s">
        <v>172</v>
      </c>
      <c r="N64" s="377" t="s">
        <v>173</v>
      </c>
      <c r="O64" s="380">
        <v>1</v>
      </c>
      <c r="P64" s="386">
        <v>1</v>
      </c>
      <c r="Q64" s="386">
        <v>1</v>
      </c>
      <c r="R64" s="381">
        <v>80</v>
      </c>
      <c r="S64" s="386">
        <v>1</v>
      </c>
      <c r="T64" s="381">
        <v>41292.36</v>
      </c>
      <c r="U64" s="381">
        <v>0</v>
      </c>
      <c r="V64" s="381">
        <v>20504.77</v>
      </c>
      <c r="W64" s="381">
        <v>47715.199999999997</v>
      </c>
      <c r="X64" s="381">
        <v>22818.39</v>
      </c>
      <c r="Y64" s="381">
        <v>47715.199999999997</v>
      </c>
      <c r="Z64" s="381">
        <v>23634.18</v>
      </c>
      <c r="AA64" s="377" t="s">
        <v>449</v>
      </c>
      <c r="AB64" s="377" t="s">
        <v>450</v>
      </c>
      <c r="AC64" s="377" t="s">
        <v>451</v>
      </c>
      <c r="AD64" s="377" t="s">
        <v>217</v>
      </c>
      <c r="AE64" s="377" t="s">
        <v>378</v>
      </c>
      <c r="AF64" s="377" t="s">
        <v>262</v>
      </c>
      <c r="AG64" s="377" t="s">
        <v>179</v>
      </c>
      <c r="AH64" s="382">
        <v>22.94</v>
      </c>
      <c r="AI64" s="382">
        <v>9993.6</v>
      </c>
      <c r="AJ64" s="377" t="s">
        <v>180</v>
      </c>
      <c r="AK64" s="377" t="s">
        <v>181</v>
      </c>
      <c r="AL64" s="377" t="s">
        <v>182</v>
      </c>
      <c r="AM64" s="377" t="s">
        <v>183</v>
      </c>
      <c r="AN64" s="377" t="s">
        <v>66</v>
      </c>
      <c r="AO64" s="380">
        <v>80</v>
      </c>
      <c r="AP64" s="386">
        <v>1</v>
      </c>
      <c r="AQ64" s="386">
        <v>1</v>
      </c>
      <c r="AR64" s="384" t="s">
        <v>184</v>
      </c>
      <c r="AS64" s="388">
        <f t="shared" si="27"/>
        <v>1</v>
      </c>
      <c r="AT64">
        <f t="shared" si="28"/>
        <v>1</v>
      </c>
      <c r="AU64" s="388">
        <f>IF(AT64=0,"",IF(AND(AT64=1,M64="F",SUMIF(C2:C112,C64,AS2:AS112)&lt;=1),SUMIF(C2:C112,C64,AS2:AS112),IF(AND(AT64=1,M64="F",SUMIF(C2:C112,C64,AS2:AS112)&gt;1),1,"")))</f>
        <v>1</v>
      </c>
      <c r="AV64" s="388" t="str">
        <f>IF(AT64=0,"",IF(AND(AT64=3,M64="F",SUMIF(C2:C112,C64,AS2:AS112)&lt;=1),SUMIF(C2:C112,C64,AS2:AS112),IF(AND(AT64=3,M64="F",SUMIF(C2:C112,C64,AS2:AS112)&gt;1),1,"")))</f>
        <v/>
      </c>
      <c r="AW64" s="388">
        <f>SUMIF(C2:C112,C64,O2:O112)</f>
        <v>1</v>
      </c>
      <c r="AX64" s="388">
        <f>IF(AND(M64="F",AS64&lt;&gt;0),SUMIF(C2:C112,C64,W2:W112),0)</f>
        <v>47715.199999999997</v>
      </c>
      <c r="AY64" s="388">
        <f t="shared" si="29"/>
        <v>47715.199999999997</v>
      </c>
      <c r="AZ64" s="388" t="str">
        <f t="shared" si="30"/>
        <v/>
      </c>
      <c r="BA64" s="388">
        <f t="shared" si="31"/>
        <v>0</v>
      </c>
      <c r="BB64" s="388">
        <f t="shared" si="44"/>
        <v>12500</v>
      </c>
      <c r="BC64" s="388">
        <f t="shared" si="45"/>
        <v>0</v>
      </c>
      <c r="BD64" s="388">
        <f t="shared" si="46"/>
        <v>2958.3424</v>
      </c>
      <c r="BE64" s="388">
        <f t="shared" si="47"/>
        <v>691.87040000000002</v>
      </c>
      <c r="BF64" s="388">
        <f t="shared" si="48"/>
        <v>5697.19488</v>
      </c>
      <c r="BG64" s="388">
        <f t="shared" si="49"/>
        <v>344.02659199999999</v>
      </c>
      <c r="BH64" s="388">
        <f t="shared" si="50"/>
        <v>0</v>
      </c>
      <c r="BI64" s="388">
        <f t="shared" si="51"/>
        <v>264.103632</v>
      </c>
      <c r="BJ64" s="388">
        <f t="shared" si="52"/>
        <v>362.63551999999999</v>
      </c>
      <c r="BK64" s="388">
        <f t="shared" si="53"/>
        <v>0</v>
      </c>
      <c r="BL64" s="388">
        <f t="shared" si="32"/>
        <v>10318.173424000001</v>
      </c>
      <c r="BM64" s="388">
        <f t="shared" si="33"/>
        <v>0</v>
      </c>
      <c r="BN64" s="388">
        <f t="shared" si="54"/>
        <v>13750</v>
      </c>
      <c r="BO64" s="388">
        <f t="shared" si="55"/>
        <v>0</v>
      </c>
      <c r="BP64" s="388">
        <f t="shared" si="56"/>
        <v>2958.3424</v>
      </c>
      <c r="BQ64" s="388">
        <f t="shared" si="57"/>
        <v>691.87040000000002</v>
      </c>
      <c r="BR64" s="388">
        <f t="shared" si="58"/>
        <v>5334.5593599999993</v>
      </c>
      <c r="BS64" s="388">
        <f t="shared" si="59"/>
        <v>344.02659199999999</v>
      </c>
      <c r="BT64" s="388">
        <f t="shared" si="60"/>
        <v>0</v>
      </c>
      <c r="BU64" s="388">
        <f t="shared" si="61"/>
        <v>264.103632</v>
      </c>
      <c r="BV64" s="388">
        <f t="shared" si="62"/>
        <v>291.06272000000001</v>
      </c>
      <c r="BW64" s="388">
        <f t="shared" si="63"/>
        <v>0</v>
      </c>
      <c r="BX64" s="388">
        <f t="shared" si="34"/>
        <v>9883.9651040000008</v>
      </c>
      <c r="BY64" s="388">
        <f t="shared" si="35"/>
        <v>0</v>
      </c>
      <c r="BZ64" s="388">
        <f t="shared" si="36"/>
        <v>1250</v>
      </c>
      <c r="CA64" s="388">
        <f t="shared" si="37"/>
        <v>0</v>
      </c>
      <c r="CB64" s="388">
        <f t="shared" si="38"/>
        <v>0</v>
      </c>
      <c r="CC64" s="388">
        <f t="shared" si="64"/>
        <v>0</v>
      </c>
      <c r="CD64" s="388">
        <f t="shared" si="65"/>
        <v>-362.63552000000044</v>
      </c>
      <c r="CE64" s="388">
        <f t="shared" si="66"/>
        <v>0</v>
      </c>
      <c r="CF64" s="388">
        <f t="shared" si="67"/>
        <v>0</v>
      </c>
      <c r="CG64" s="388">
        <f t="shared" si="68"/>
        <v>0</v>
      </c>
      <c r="CH64" s="388">
        <f t="shared" si="69"/>
        <v>-71.572799999999972</v>
      </c>
      <c r="CI64" s="388">
        <f t="shared" si="70"/>
        <v>0</v>
      </c>
      <c r="CJ64" s="388">
        <f t="shared" si="39"/>
        <v>-434.20832000000041</v>
      </c>
      <c r="CK64" s="388" t="str">
        <f t="shared" si="40"/>
        <v/>
      </c>
      <c r="CL64" s="388" t="str">
        <f t="shared" si="41"/>
        <v/>
      </c>
      <c r="CM64" s="388" t="str">
        <f t="shared" si="42"/>
        <v/>
      </c>
      <c r="CN64" s="388" t="str">
        <f t="shared" si="43"/>
        <v>0348-00</v>
      </c>
    </row>
    <row r="65" spans="1:92" ht="15.75" thickBot="1">
      <c r="A65" s="377" t="s">
        <v>162</v>
      </c>
      <c r="B65" s="377" t="s">
        <v>163</v>
      </c>
      <c r="C65" s="377" t="s">
        <v>452</v>
      </c>
      <c r="D65" s="377" t="s">
        <v>435</v>
      </c>
      <c r="E65" s="377" t="s">
        <v>419</v>
      </c>
      <c r="F65" s="378" t="s">
        <v>167</v>
      </c>
      <c r="G65" s="377" t="s">
        <v>168</v>
      </c>
      <c r="H65" s="379"/>
      <c r="I65" s="379"/>
      <c r="J65" s="377" t="s">
        <v>169</v>
      </c>
      <c r="K65" s="377" t="s">
        <v>436</v>
      </c>
      <c r="L65" s="377" t="s">
        <v>181</v>
      </c>
      <c r="M65" s="377" t="s">
        <v>189</v>
      </c>
      <c r="N65" s="377" t="s">
        <v>214</v>
      </c>
      <c r="O65" s="380">
        <v>0</v>
      </c>
      <c r="P65" s="386">
        <v>1</v>
      </c>
      <c r="Q65" s="386">
        <v>0</v>
      </c>
      <c r="R65" s="381">
        <v>0</v>
      </c>
      <c r="S65" s="386">
        <v>0</v>
      </c>
      <c r="T65" s="381">
        <v>0</v>
      </c>
      <c r="U65" s="381">
        <v>0</v>
      </c>
      <c r="V65" s="381">
        <v>0</v>
      </c>
      <c r="W65" s="381">
        <v>0</v>
      </c>
      <c r="X65" s="381">
        <v>0</v>
      </c>
      <c r="Y65" s="381">
        <v>0</v>
      </c>
      <c r="Z65" s="381">
        <v>0</v>
      </c>
      <c r="AA65" s="379"/>
      <c r="AB65" s="377" t="s">
        <v>45</v>
      </c>
      <c r="AC65" s="377" t="s">
        <v>45</v>
      </c>
      <c r="AD65" s="379"/>
      <c r="AE65" s="379"/>
      <c r="AF65" s="379"/>
      <c r="AG65" s="379"/>
      <c r="AH65" s="380">
        <v>0</v>
      </c>
      <c r="AI65" s="380">
        <v>0</v>
      </c>
      <c r="AJ65" s="379"/>
      <c r="AK65" s="379"/>
      <c r="AL65" s="377" t="s">
        <v>182</v>
      </c>
      <c r="AM65" s="379"/>
      <c r="AN65" s="379"/>
      <c r="AO65" s="380">
        <v>0</v>
      </c>
      <c r="AP65" s="386">
        <v>0</v>
      </c>
      <c r="AQ65" s="386">
        <v>0</v>
      </c>
      <c r="AR65" s="385"/>
      <c r="AS65" s="388">
        <f t="shared" si="27"/>
        <v>0</v>
      </c>
      <c r="AT65">
        <f t="shared" si="28"/>
        <v>0</v>
      </c>
      <c r="AU65" s="388" t="str">
        <f>IF(AT65=0,"",IF(AND(AT65=1,M65="F",SUMIF(C2:C112,C65,AS2:AS112)&lt;=1),SUMIF(C2:C112,C65,AS2:AS112),IF(AND(AT65=1,M65="F",SUMIF(C2:C112,C65,AS2:AS112)&gt;1),1,"")))</f>
        <v/>
      </c>
      <c r="AV65" s="388" t="str">
        <f>IF(AT65=0,"",IF(AND(AT65=3,M65="F",SUMIF(C2:C112,C65,AS2:AS112)&lt;=1),SUMIF(C2:C112,C65,AS2:AS112),IF(AND(AT65=3,M65="F",SUMIF(C2:C112,C65,AS2:AS112)&gt;1),1,"")))</f>
        <v/>
      </c>
      <c r="AW65" s="388">
        <f>SUMIF(C2:C112,C65,O2:O112)</f>
        <v>0</v>
      </c>
      <c r="AX65" s="388">
        <f>IF(AND(M65="F",AS65&lt;&gt;0),SUMIF(C2:C112,C65,W2:W112),0)</f>
        <v>0</v>
      </c>
      <c r="AY65" s="388" t="str">
        <f t="shared" si="29"/>
        <v/>
      </c>
      <c r="AZ65" s="388" t="str">
        <f t="shared" si="30"/>
        <v/>
      </c>
      <c r="BA65" s="388">
        <f t="shared" si="31"/>
        <v>0</v>
      </c>
      <c r="BB65" s="388">
        <f t="shared" si="44"/>
        <v>0</v>
      </c>
      <c r="BC65" s="388">
        <f t="shared" si="45"/>
        <v>0</v>
      </c>
      <c r="BD65" s="388">
        <f t="shared" si="46"/>
        <v>0</v>
      </c>
      <c r="BE65" s="388">
        <f t="shared" si="47"/>
        <v>0</v>
      </c>
      <c r="BF65" s="388">
        <f t="shared" si="48"/>
        <v>0</v>
      </c>
      <c r="BG65" s="388">
        <f t="shared" si="49"/>
        <v>0</v>
      </c>
      <c r="BH65" s="388">
        <f t="shared" si="50"/>
        <v>0</v>
      </c>
      <c r="BI65" s="388">
        <f t="shared" si="51"/>
        <v>0</v>
      </c>
      <c r="BJ65" s="388">
        <f t="shared" si="52"/>
        <v>0</v>
      </c>
      <c r="BK65" s="388">
        <f t="shared" si="53"/>
        <v>0</v>
      </c>
      <c r="BL65" s="388">
        <f t="shared" si="32"/>
        <v>0</v>
      </c>
      <c r="BM65" s="388">
        <f t="shared" si="33"/>
        <v>0</v>
      </c>
      <c r="BN65" s="388">
        <f t="shared" si="54"/>
        <v>0</v>
      </c>
      <c r="BO65" s="388">
        <f t="shared" si="55"/>
        <v>0</v>
      </c>
      <c r="BP65" s="388">
        <f t="shared" si="56"/>
        <v>0</v>
      </c>
      <c r="BQ65" s="388">
        <f t="shared" si="57"/>
        <v>0</v>
      </c>
      <c r="BR65" s="388">
        <f t="shared" si="58"/>
        <v>0</v>
      </c>
      <c r="BS65" s="388">
        <f t="shared" si="59"/>
        <v>0</v>
      </c>
      <c r="BT65" s="388">
        <f t="shared" si="60"/>
        <v>0</v>
      </c>
      <c r="BU65" s="388">
        <f t="shared" si="61"/>
        <v>0</v>
      </c>
      <c r="BV65" s="388">
        <f t="shared" si="62"/>
        <v>0</v>
      </c>
      <c r="BW65" s="388">
        <f t="shared" si="63"/>
        <v>0</v>
      </c>
      <c r="BX65" s="388">
        <f t="shared" si="34"/>
        <v>0</v>
      </c>
      <c r="BY65" s="388">
        <f t="shared" si="35"/>
        <v>0</v>
      </c>
      <c r="BZ65" s="388">
        <f t="shared" si="36"/>
        <v>0</v>
      </c>
      <c r="CA65" s="388">
        <f t="shared" si="37"/>
        <v>0</v>
      </c>
      <c r="CB65" s="388">
        <f t="shared" si="38"/>
        <v>0</v>
      </c>
      <c r="CC65" s="388">
        <f t="shared" si="64"/>
        <v>0</v>
      </c>
      <c r="CD65" s="388">
        <f t="shared" si="65"/>
        <v>0</v>
      </c>
      <c r="CE65" s="388">
        <f t="shared" si="66"/>
        <v>0</v>
      </c>
      <c r="CF65" s="388">
        <f t="shared" si="67"/>
        <v>0</v>
      </c>
      <c r="CG65" s="388">
        <f t="shared" si="68"/>
        <v>0</v>
      </c>
      <c r="CH65" s="388">
        <f t="shared" si="69"/>
        <v>0</v>
      </c>
      <c r="CI65" s="388">
        <f t="shared" si="70"/>
        <v>0</v>
      </c>
      <c r="CJ65" s="388">
        <f t="shared" si="39"/>
        <v>0</v>
      </c>
      <c r="CK65" s="388" t="str">
        <f t="shared" si="40"/>
        <v/>
      </c>
      <c r="CL65" s="388">
        <f t="shared" si="41"/>
        <v>0</v>
      </c>
      <c r="CM65" s="388">
        <f t="shared" si="42"/>
        <v>0</v>
      </c>
      <c r="CN65" s="388" t="str">
        <f t="shared" si="43"/>
        <v>0348-00</v>
      </c>
    </row>
    <row r="66" spans="1:92" ht="15.75" thickBot="1">
      <c r="A66" s="377" t="s">
        <v>162</v>
      </c>
      <c r="B66" s="377" t="s">
        <v>163</v>
      </c>
      <c r="C66" s="377" t="s">
        <v>453</v>
      </c>
      <c r="D66" s="377" t="s">
        <v>454</v>
      </c>
      <c r="E66" s="377" t="s">
        <v>419</v>
      </c>
      <c r="F66" s="378" t="s">
        <v>167</v>
      </c>
      <c r="G66" s="377" t="s">
        <v>168</v>
      </c>
      <c r="H66" s="379"/>
      <c r="I66" s="379"/>
      <c r="J66" s="377" t="s">
        <v>169</v>
      </c>
      <c r="K66" s="377" t="s">
        <v>455</v>
      </c>
      <c r="L66" s="377" t="s">
        <v>385</v>
      </c>
      <c r="M66" s="377" t="s">
        <v>172</v>
      </c>
      <c r="N66" s="377" t="s">
        <v>173</v>
      </c>
      <c r="O66" s="380">
        <v>1</v>
      </c>
      <c r="P66" s="386">
        <v>0</v>
      </c>
      <c r="Q66" s="386">
        <v>0</v>
      </c>
      <c r="R66" s="381">
        <v>80</v>
      </c>
      <c r="S66" s="386">
        <v>0</v>
      </c>
      <c r="T66" s="381">
        <v>17614.55</v>
      </c>
      <c r="U66" s="381">
        <v>0</v>
      </c>
      <c r="V66" s="381">
        <v>7353.83</v>
      </c>
      <c r="W66" s="381">
        <v>0</v>
      </c>
      <c r="X66" s="381">
        <v>0</v>
      </c>
      <c r="Y66" s="381">
        <v>0</v>
      </c>
      <c r="Z66" s="381">
        <v>0</v>
      </c>
      <c r="AA66" s="377" t="s">
        <v>456</v>
      </c>
      <c r="AB66" s="377" t="s">
        <v>457</v>
      </c>
      <c r="AC66" s="377" t="s">
        <v>458</v>
      </c>
      <c r="AD66" s="377" t="s">
        <v>188</v>
      </c>
      <c r="AE66" s="377" t="s">
        <v>234</v>
      </c>
      <c r="AF66" s="377" t="s">
        <v>237</v>
      </c>
      <c r="AG66" s="377" t="s">
        <v>179</v>
      </c>
      <c r="AH66" s="382">
        <v>26.27</v>
      </c>
      <c r="AI66" s="382">
        <v>17341.7</v>
      </c>
      <c r="AJ66" s="377" t="s">
        <v>180</v>
      </c>
      <c r="AK66" s="377" t="s">
        <v>181</v>
      </c>
      <c r="AL66" s="377" t="s">
        <v>182</v>
      </c>
      <c r="AM66" s="377" t="s">
        <v>183</v>
      </c>
      <c r="AN66" s="377" t="s">
        <v>66</v>
      </c>
      <c r="AO66" s="380">
        <v>80</v>
      </c>
      <c r="AP66" s="386">
        <v>1</v>
      </c>
      <c r="AQ66" s="386">
        <v>0</v>
      </c>
      <c r="AR66" s="384" t="s">
        <v>184</v>
      </c>
      <c r="AS66" s="388">
        <f t="shared" si="27"/>
        <v>0</v>
      </c>
      <c r="AT66">
        <f t="shared" si="28"/>
        <v>0</v>
      </c>
      <c r="AU66" s="388" t="str">
        <f>IF(AT66=0,"",IF(AND(AT66=1,M66="F",SUMIF(C2:C112,C66,AS2:AS112)&lt;=1),SUMIF(C2:C112,C66,AS2:AS112),IF(AND(AT66=1,M66="F",SUMIF(C2:C112,C66,AS2:AS112)&gt;1),1,"")))</f>
        <v/>
      </c>
      <c r="AV66" s="388" t="str">
        <f>IF(AT66=0,"",IF(AND(AT66=3,M66="F",SUMIF(C2:C112,C66,AS2:AS112)&lt;=1),SUMIF(C2:C112,C66,AS2:AS112),IF(AND(AT66=3,M66="F",SUMIF(C2:C112,C66,AS2:AS112)&gt;1),1,"")))</f>
        <v/>
      </c>
      <c r="AW66" s="388">
        <f>SUMIF(C2:C112,C66,O2:O112)</f>
        <v>2</v>
      </c>
      <c r="AX66" s="388">
        <f>IF(AND(M66="F",AS66&lt;&gt;0),SUMIF(C2:C112,C66,W2:W112),0)</f>
        <v>0</v>
      </c>
      <c r="AY66" s="388" t="str">
        <f t="shared" si="29"/>
        <v/>
      </c>
      <c r="AZ66" s="388" t="str">
        <f t="shared" si="30"/>
        <v/>
      </c>
      <c r="BA66" s="388">
        <f t="shared" si="31"/>
        <v>0</v>
      </c>
      <c r="BB66" s="388">
        <f t="shared" ref="BB66:BB97" si="71">IF(AND(AT66=1,AK66="E",AU66&gt;=0.75,AW66=1),Health,IF(AND(AT66=1,AK66="E",AU66&gt;=0.75),Health*P66,IF(AND(AT66=1,AK66="E",AU66&gt;=0.5,AW66=1),PTHealth,IF(AND(AT66=1,AK66="E",AU66&gt;=0.5),PTHealth*P66,0))))</f>
        <v>0</v>
      </c>
      <c r="BC66" s="388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8">
        <f t="shared" ref="BD66:BD97" si="73">IF(AND(AT66&lt;&gt;0,AX66&gt;=MAXSSDI),SSDI*MAXSSDI*P66,IF(AT66&lt;&gt;0,SSDI*W66,0))</f>
        <v>0</v>
      </c>
      <c r="BE66" s="388">
        <f t="shared" ref="BE66:BE97" si="74">IF(AT66&lt;&gt;0,SSHI*W66,0)</f>
        <v>0</v>
      </c>
      <c r="BF66" s="388">
        <f t="shared" ref="BF66:BF97" si="75">IF(AND(AT66&lt;&gt;0,AN66&lt;&gt;"NE"),VLOOKUP(AN66,Retirement_Rates,3,FALSE)*W66,0)</f>
        <v>0</v>
      </c>
      <c r="BG66" s="388">
        <f t="shared" ref="BG66:BG97" si="76">IF(AND(AT66&lt;&gt;0,AJ66&lt;&gt;"PF"),Life*W66,0)</f>
        <v>0</v>
      </c>
      <c r="BH66" s="388">
        <f t="shared" ref="BH66:BH97" si="77">IF(AND(AT66&lt;&gt;0,AM66="Y"),UI*W66,0)</f>
        <v>0</v>
      </c>
      <c r="BI66" s="388">
        <f t="shared" ref="BI66:BI97" si="78">IF(AND(AT66&lt;&gt;0,N66&lt;&gt;"NR"),DHR*W66,0)</f>
        <v>0</v>
      </c>
      <c r="BJ66" s="388">
        <f t="shared" ref="BJ66:BJ97" si="79">IF(AT66&lt;&gt;0,WC*W66,0)</f>
        <v>0</v>
      </c>
      <c r="BK66" s="388">
        <f t="shared" ref="BK66:BK97" si="80">IF(OR(AND(AT66&lt;&gt;0,AJ66&lt;&gt;"PF",AN66&lt;&gt;"NE",AG66&lt;&gt;"A"),AND(AL66="E",OR(AT66=1,AT66=3))),Sick*W66,0)</f>
        <v>0</v>
      </c>
      <c r="BL66" s="388">
        <f t="shared" si="32"/>
        <v>0</v>
      </c>
      <c r="BM66" s="388">
        <f t="shared" si="33"/>
        <v>0</v>
      </c>
      <c r="BN66" s="388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0</v>
      </c>
      <c r="BO66" s="388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8">
        <f t="shared" ref="BP66:BP97" si="83">IF(AND(AT66&lt;&gt;0,(AX66+BA66)&gt;=MAXSSDIBY),SSDIBY*MAXSSDIBY*P66,IF(AT66&lt;&gt;0,SSDIBY*W66,0))</f>
        <v>0</v>
      </c>
      <c r="BQ66" s="388">
        <f t="shared" ref="BQ66:BQ97" si="84">IF(AT66&lt;&gt;0,SSHIBY*W66,0)</f>
        <v>0</v>
      </c>
      <c r="BR66" s="388">
        <f t="shared" ref="BR66:BR97" si="85">IF(AND(AT66&lt;&gt;0,AN66&lt;&gt;"NE"),VLOOKUP(AN66,Retirement_Rates,4,FALSE)*W66,0)</f>
        <v>0</v>
      </c>
      <c r="BS66" s="388">
        <f t="shared" ref="BS66:BS97" si="86">IF(AND(AT66&lt;&gt;0,AJ66&lt;&gt;"PF"),LifeBY*W66,0)</f>
        <v>0</v>
      </c>
      <c r="BT66" s="388">
        <f t="shared" ref="BT66:BT97" si="87">IF(AND(AT66&lt;&gt;0,AM66="Y"),UIBY*W66,0)</f>
        <v>0</v>
      </c>
      <c r="BU66" s="388">
        <f t="shared" ref="BU66:BU97" si="88">IF(AND(AT66&lt;&gt;0,N66&lt;&gt;"NR"),DHRBY*W66,0)</f>
        <v>0</v>
      </c>
      <c r="BV66" s="388">
        <f t="shared" ref="BV66:BV97" si="89">IF(AT66&lt;&gt;0,WCBY*W66,0)</f>
        <v>0</v>
      </c>
      <c r="BW66" s="388">
        <f t="shared" ref="BW66:BW97" si="90">IF(OR(AND(AT66&lt;&gt;0,AJ66&lt;&gt;"PF",AN66&lt;&gt;"NE",AG66&lt;&gt;"A"),AND(AL66="E",OR(AT66=1,AT66=3))),SickBY*W66,0)</f>
        <v>0</v>
      </c>
      <c r="BX66" s="388">
        <f t="shared" si="34"/>
        <v>0</v>
      </c>
      <c r="BY66" s="388">
        <f t="shared" si="35"/>
        <v>0</v>
      </c>
      <c r="BZ66" s="388">
        <f t="shared" si="36"/>
        <v>0</v>
      </c>
      <c r="CA66" s="388">
        <f t="shared" si="37"/>
        <v>0</v>
      </c>
      <c r="CB66" s="388">
        <f t="shared" si="38"/>
        <v>0</v>
      </c>
      <c r="CC66" s="388">
        <f t="shared" ref="CC66:CC97" si="91">IF(AT66&lt;&gt;0,SSHICHG*Y66,0)</f>
        <v>0</v>
      </c>
      <c r="CD66" s="388">
        <f t="shared" ref="CD66:CD97" si="92">IF(AND(AT66&lt;&gt;0,AN66&lt;&gt;"NE"),VLOOKUP(AN66,Retirement_Rates,5,FALSE)*Y66,0)</f>
        <v>0</v>
      </c>
      <c r="CE66" s="388">
        <f t="shared" ref="CE66:CE97" si="93">IF(AND(AT66&lt;&gt;0,AJ66&lt;&gt;"PF"),LifeCHG*Y66,0)</f>
        <v>0</v>
      </c>
      <c r="CF66" s="388">
        <f t="shared" ref="CF66:CF97" si="94">IF(AND(AT66&lt;&gt;0,AM66="Y"),UICHG*Y66,0)</f>
        <v>0</v>
      </c>
      <c r="CG66" s="388">
        <f t="shared" ref="CG66:CG97" si="95">IF(AND(AT66&lt;&gt;0,N66&lt;&gt;"NR"),DHRCHG*Y66,0)</f>
        <v>0</v>
      </c>
      <c r="CH66" s="388">
        <f t="shared" ref="CH66:CH97" si="96">IF(AT66&lt;&gt;0,WCCHG*Y66,0)</f>
        <v>0</v>
      </c>
      <c r="CI66" s="388">
        <f t="shared" ref="CI66:CI97" si="97">IF(OR(AND(AT66&lt;&gt;0,AJ66&lt;&gt;"PF",AN66&lt;&gt;"NE",AG66&lt;&gt;"A"),AND(AL66="E",OR(AT66=1,AT66=3))),SickCHG*Y66,0)</f>
        <v>0</v>
      </c>
      <c r="CJ66" s="388">
        <f t="shared" si="39"/>
        <v>0</v>
      </c>
      <c r="CK66" s="388" t="str">
        <f t="shared" si="40"/>
        <v/>
      </c>
      <c r="CL66" s="388" t="str">
        <f t="shared" si="41"/>
        <v/>
      </c>
      <c r="CM66" s="388" t="str">
        <f t="shared" si="42"/>
        <v/>
      </c>
      <c r="CN66" s="388" t="str">
        <f t="shared" si="43"/>
        <v>0348-00</v>
      </c>
    </row>
    <row r="67" spans="1:92" ht="15.75" thickBot="1">
      <c r="A67" s="377" t="s">
        <v>162</v>
      </c>
      <c r="B67" s="377" t="s">
        <v>163</v>
      </c>
      <c r="C67" s="377" t="s">
        <v>263</v>
      </c>
      <c r="D67" s="377" t="s">
        <v>264</v>
      </c>
      <c r="E67" s="377" t="s">
        <v>419</v>
      </c>
      <c r="F67" s="378" t="s">
        <v>167</v>
      </c>
      <c r="G67" s="377" t="s">
        <v>168</v>
      </c>
      <c r="H67" s="379"/>
      <c r="I67" s="379"/>
      <c r="J67" s="377" t="s">
        <v>169</v>
      </c>
      <c r="K67" s="377" t="s">
        <v>265</v>
      </c>
      <c r="L67" s="377" t="s">
        <v>188</v>
      </c>
      <c r="M67" s="377" t="s">
        <v>172</v>
      </c>
      <c r="N67" s="377" t="s">
        <v>173</v>
      </c>
      <c r="O67" s="380">
        <v>1</v>
      </c>
      <c r="P67" s="386">
        <v>0</v>
      </c>
      <c r="Q67" s="386">
        <v>0</v>
      </c>
      <c r="R67" s="381">
        <v>80</v>
      </c>
      <c r="S67" s="386">
        <v>0</v>
      </c>
      <c r="T67" s="381">
        <v>2524.6</v>
      </c>
      <c r="U67" s="381">
        <v>0</v>
      </c>
      <c r="V67" s="381">
        <v>760.76</v>
      </c>
      <c r="W67" s="381">
        <v>0</v>
      </c>
      <c r="X67" s="381">
        <v>0</v>
      </c>
      <c r="Y67" s="381">
        <v>0</v>
      </c>
      <c r="Z67" s="381">
        <v>0</v>
      </c>
      <c r="AA67" s="377" t="s">
        <v>266</v>
      </c>
      <c r="AB67" s="377" t="s">
        <v>267</v>
      </c>
      <c r="AC67" s="377" t="s">
        <v>268</v>
      </c>
      <c r="AD67" s="377" t="s">
        <v>197</v>
      </c>
      <c r="AE67" s="377" t="s">
        <v>265</v>
      </c>
      <c r="AF67" s="377" t="s">
        <v>198</v>
      </c>
      <c r="AG67" s="377" t="s">
        <v>179</v>
      </c>
      <c r="AH67" s="382">
        <v>31.78</v>
      </c>
      <c r="AI67" s="380">
        <v>6091</v>
      </c>
      <c r="AJ67" s="377" t="s">
        <v>180</v>
      </c>
      <c r="AK67" s="377" t="s">
        <v>181</v>
      </c>
      <c r="AL67" s="377" t="s">
        <v>182</v>
      </c>
      <c r="AM67" s="377" t="s">
        <v>183</v>
      </c>
      <c r="AN67" s="377" t="s">
        <v>66</v>
      </c>
      <c r="AO67" s="380">
        <v>80</v>
      </c>
      <c r="AP67" s="386">
        <v>1</v>
      </c>
      <c r="AQ67" s="386">
        <v>0</v>
      </c>
      <c r="AR67" s="384" t="s">
        <v>184</v>
      </c>
      <c r="AS67" s="388">
        <f t="shared" ref="AS67:AS112" si="98">IF(((AO67/80)*AP67*P67)&gt;1,AQ67,((AO67/80)*AP67*P67))</f>
        <v>0</v>
      </c>
      <c r="AT67">
        <f t="shared" ref="AT67:AT112" si="99">IF(AND(M67="F",N67&lt;&gt;"NG",AS67&lt;&gt;0,AND(AR67&lt;&gt;6,AR67&lt;&gt;36,AR67&lt;&gt;56),AG67&lt;&gt;"A",OR(AG67="H",AJ67="FS")),1,IF(AND(M67="F",N67&lt;&gt;"NG",AS67&lt;&gt;0,AG67="A"),3,0))</f>
        <v>0</v>
      </c>
      <c r="AU67" s="388" t="str">
        <f>IF(AT67=0,"",IF(AND(AT67=1,M67="F",SUMIF(C2:C112,C67,AS2:AS112)&lt;=1),SUMIF(C2:C112,C67,AS2:AS112),IF(AND(AT67=1,M67="F",SUMIF(C2:C112,C67,AS2:AS112)&gt;1),1,"")))</f>
        <v/>
      </c>
      <c r="AV67" s="388" t="str">
        <f>IF(AT67=0,"",IF(AND(AT67=3,M67="F",SUMIF(C2:C112,C67,AS2:AS112)&lt;=1),SUMIF(C2:C112,C67,AS2:AS112),IF(AND(AT67=3,M67="F",SUMIF(C2:C112,C67,AS2:AS112)&gt;1),1,"")))</f>
        <v/>
      </c>
      <c r="AW67" s="388">
        <f>SUMIF(C2:C112,C67,O2:O112)</f>
        <v>2</v>
      </c>
      <c r="AX67" s="388">
        <f>IF(AND(M67="F",AS67&lt;&gt;0),SUMIF(C2:C112,C67,W2:W112),0)</f>
        <v>0</v>
      </c>
      <c r="AY67" s="388" t="str">
        <f t="shared" ref="AY67:AY112" si="100">IF(AT67=1,W67,"")</f>
        <v/>
      </c>
      <c r="AZ67" s="388" t="str">
        <f t="shared" ref="AZ67:AZ112" si="101">IF(AT67=3,W67,"")</f>
        <v/>
      </c>
      <c r="BA67" s="388">
        <f t="shared" ref="BA67:BA112" si="102">IF(AT67=1,Y67-W67,0)</f>
        <v>0</v>
      </c>
      <c r="BB67" s="388">
        <f t="shared" si="71"/>
        <v>0</v>
      </c>
      <c r="BC67" s="388">
        <f t="shared" si="72"/>
        <v>0</v>
      </c>
      <c r="BD67" s="388">
        <f t="shared" si="73"/>
        <v>0</v>
      </c>
      <c r="BE67" s="388">
        <f t="shared" si="74"/>
        <v>0</v>
      </c>
      <c r="BF67" s="388">
        <f t="shared" si="75"/>
        <v>0</v>
      </c>
      <c r="BG67" s="388">
        <f t="shared" si="76"/>
        <v>0</v>
      </c>
      <c r="BH67" s="388">
        <f t="shared" si="77"/>
        <v>0</v>
      </c>
      <c r="BI67" s="388">
        <f t="shared" si="78"/>
        <v>0</v>
      </c>
      <c r="BJ67" s="388">
        <f t="shared" si="79"/>
        <v>0</v>
      </c>
      <c r="BK67" s="388">
        <f t="shared" si="80"/>
        <v>0</v>
      </c>
      <c r="BL67" s="388">
        <f t="shared" ref="BL67:BL112" si="103">IF(AT67=1,SUM(BD67:BK67),0)</f>
        <v>0</v>
      </c>
      <c r="BM67" s="388">
        <f t="shared" ref="BM67:BM112" si="104">IF(AT67=3,SUM(BD67:BK67),0)</f>
        <v>0</v>
      </c>
      <c r="BN67" s="388">
        <f t="shared" si="81"/>
        <v>0</v>
      </c>
      <c r="BO67" s="388">
        <f t="shared" si="82"/>
        <v>0</v>
      </c>
      <c r="BP67" s="388">
        <f t="shared" si="83"/>
        <v>0</v>
      </c>
      <c r="BQ67" s="388">
        <f t="shared" si="84"/>
        <v>0</v>
      </c>
      <c r="BR67" s="388">
        <f t="shared" si="85"/>
        <v>0</v>
      </c>
      <c r="BS67" s="388">
        <f t="shared" si="86"/>
        <v>0</v>
      </c>
      <c r="BT67" s="388">
        <f t="shared" si="87"/>
        <v>0</v>
      </c>
      <c r="BU67" s="388">
        <f t="shared" si="88"/>
        <v>0</v>
      </c>
      <c r="BV67" s="388">
        <f t="shared" si="89"/>
        <v>0</v>
      </c>
      <c r="BW67" s="388">
        <f t="shared" si="90"/>
        <v>0</v>
      </c>
      <c r="BX67" s="388">
        <f t="shared" ref="BX67:BX112" si="105">IF(AT67=1,SUM(BP67:BW67),0)</f>
        <v>0</v>
      </c>
      <c r="BY67" s="388">
        <f t="shared" ref="BY67:BY112" si="106">IF(AT67=3,SUM(BP67:BW67),0)</f>
        <v>0</v>
      </c>
      <c r="BZ67" s="388">
        <f t="shared" ref="BZ67:BZ112" si="107">IF(AT67=1,BN67-BB67,0)</f>
        <v>0</v>
      </c>
      <c r="CA67" s="388">
        <f t="shared" ref="CA67:CA112" si="108">IF(AT67=3,BO67-BC67,0)</f>
        <v>0</v>
      </c>
      <c r="CB67" s="388">
        <f t="shared" ref="CB67:CB112" si="109">BP67-BD67</f>
        <v>0</v>
      </c>
      <c r="CC67" s="388">
        <f t="shared" si="91"/>
        <v>0</v>
      </c>
      <c r="CD67" s="388">
        <f t="shared" si="92"/>
        <v>0</v>
      </c>
      <c r="CE67" s="388">
        <f t="shared" si="93"/>
        <v>0</v>
      </c>
      <c r="CF67" s="388">
        <f t="shared" si="94"/>
        <v>0</v>
      </c>
      <c r="CG67" s="388">
        <f t="shared" si="95"/>
        <v>0</v>
      </c>
      <c r="CH67" s="388">
        <f t="shared" si="96"/>
        <v>0</v>
      </c>
      <c r="CI67" s="388">
        <f t="shared" si="97"/>
        <v>0</v>
      </c>
      <c r="CJ67" s="388">
        <f t="shared" ref="CJ67:CJ112" si="110">IF(AT67=1,SUM(CB67:CI67),0)</f>
        <v>0</v>
      </c>
      <c r="CK67" s="388" t="str">
        <f t="shared" ref="CK67:CK112" si="111">IF(AT67=3,SUM(CB67:CI67),"")</f>
        <v/>
      </c>
      <c r="CL67" s="388" t="str">
        <f t="shared" ref="CL67:CL112" si="112">IF(OR(N67="NG",AG67="D"),(T67+U67),"")</f>
        <v/>
      </c>
      <c r="CM67" s="388" t="str">
        <f t="shared" ref="CM67:CM112" si="113">IF(OR(N67="NG",AG67="D"),V67,"")</f>
        <v/>
      </c>
      <c r="CN67" s="388" t="str">
        <f t="shared" ref="CN67:CN112" si="114">E67 &amp; "-" &amp; F67</f>
        <v>0348-00</v>
      </c>
    </row>
    <row r="68" spans="1:92" ht="15.75" thickBot="1">
      <c r="A68" s="377" t="s">
        <v>162</v>
      </c>
      <c r="B68" s="377" t="s">
        <v>163</v>
      </c>
      <c r="C68" s="377" t="s">
        <v>459</v>
      </c>
      <c r="D68" s="377" t="s">
        <v>460</v>
      </c>
      <c r="E68" s="377" t="s">
        <v>419</v>
      </c>
      <c r="F68" s="378" t="s">
        <v>167</v>
      </c>
      <c r="G68" s="377" t="s">
        <v>168</v>
      </c>
      <c r="H68" s="379"/>
      <c r="I68" s="379"/>
      <c r="J68" s="377" t="s">
        <v>169</v>
      </c>
      <c r="K68" s="377" t="s">
        <v>461</v>
      </c>
      <c r="L68" s="377" t="s">
        <v>217</v>
      </c>
      <c r="M68" s="377" t="s">
        <v>189</v>
      </c>
      <c r="N68" s="377" t="s">
        <v>173</v>
      </c>
      <c r="O68" s="380">
        <v>0</v>
      </c>
      <c r="P68" s="386">
        <v>0</v>
      </c>
      <c r="Q68" s="386">
        <v>0</v>
      </c>
      <c r="R68" s="381">
        <v>80</v>
      </c>
      <c r="S68" s="386">
        <v>0</v>
      </c>
      <c r="T68" s="381">
        <v>9661.07</v>
      </c>
      <c r="U68" s="381">
        <v>0</v>
      </c>
      <c r="V68" s="381">
        <v>3519.21</v>
      </c>
      <c r="W68" s="381">
        <v>0</v>
      </c>
      <c r="X68" s="381">
        <v>0</v>
      </c>
      <c r="Y68" s="381">
        <v>0</v>
      </c>
      <c r="Z68" s="381">
        <v>0</v>
      </c>
      <c r="AA68" s="379"/>
      <c r="AB68" s="377" t="s">
        <v>45</v>
      </c>
      <c r="AC68" s="377" t="s">
        <v>45</v>
      </c>
      <c r="AD68" s="379"/>
      <c r="AE68" s="379"/>
      <c r="AF68" s="379"/>
      <c r="AG68" s="379"/>
      <c r="AH68" s="380">
        <v>0</v>
      </c>
      <c r="AI68" s="380">
        <v>0</v>
      </c>
      <c r="AJ68" s="379"/>
      <c r="AK68" s="379"/>
      <c r="AL68" s="377" t="s">
        <v>182</v>
      </c>
      <c r="AM68" s="379"/>
      <c r="AN68" s="379"/>
      <c r="AO68" s="380">
        <v>0</v>
      </c>
      <c r="AP68" s="386">
        <v>0</v>
      </c>
      <c r="AQ68" s="386">
        <v>0</v>
      </c>
      <c r="AR68" s="385"/>
      <c r="AS68" s="388">
        <f t="shared" si="98"/>
        <v>0</v>
      </c>
      <c r="AT68">
        <f t="shared" si="99"/>
        <v>0</v>
      </c>
      <c r="AU68" s="388" t="str">
        <f>IF(AT68=0,"",IF(AND(AT68=1,M68="F",SUMIF(C2:C112,C68,AS2:AS112)&lt;=1),SUMIF(C2:C112,C68,AS2:AS112),IF(AND(AT68=1,M68="F",SUMIF(C2:C112,C68,AS2:AS112)&gt;1),1,"")))</f>
        <v/>
      </c>
      <c r="AV68" s="388" t="str">
        <f>IF(AT68=0,"",IF(AND(AT68=3,M68="F",SUMIF(C2:C112,C68,AS2:AS112)&lt;=1),SUMIF(C2:C112,C68,AS2:AS112),IF(AND(AT68=3,M68="F",SUMIF(C2:C112,C68,AS2:AS112)&gt;1),1,"")))</f>
        <v/>
      </c>
      <c r="AW68" s="388">
        <f>SUMIF(C2:C112,C68,O2:O112)</f>
        <v>0</v>
      </c>
      <c r="AX68" s="388">
        <f>IF(AND(M68="F",AS68&lt;&gt;0),SUMIF(C2:C112,C68,W2:W112),0)</f>
        <v>0</v>
      </c>
      <c r="AY68" s="388" t="str">
        <f t="shared" si="100"/>
        <v/>
      </c>
      <c r="AZ68" s="388" t="str">
        <f t="shared" si="101"/>
        <v/>
      </c>
      <c r="BA68" s="388">
        <f t="shared" si="102"/>
        <v>0</v>
      </c>
      <c r="BB68" s="388">
        <f t="shared" si="71"/>
        <v>0</v>
      </c>
      <c r="BC68" s="388">
        <f t="shared" si="72"/>
        <v>0</v>
      </c>
      <c r="BD68" s="388">
        <f t="shared" si="73"/>
        <v>0</v>
      </c>
      <c r="BE68" s="388">
        <f t="shared" si="74"/>
        <v>0</v>
      </c>
      <c r="BF68" s="388">
        <f t="shared" si="75"/>
        <v>0</v>
      </c>
      <c r="BG68" s="388">
        <f t="shared" si="76"/>
        <v>0</v>
      </c>
      <c r="BH68" s="388">
        <f t="shared" si="77"/>
        <v>0</v>
      </c>
      <c r="BI68" s="388">
        <f t="shared" si="78"/>
        <v>0</v>
      </c>
      <c r="BJ68" s="388">
        <f t="shared" si="79"/>
        <v>0</v>
      </c>
      <c r="BK68" s="388">
        <f t="shared" si="80"/>
        <v>0</v>
      </c>
      <c r="BL68" s="388">
        <f t="shared" si="103"/>
        <v>0</v>
      </c>
      <c r="BM68" s="388">
        <f t="shared" si="104"/>
        <v>0</v>
      </c>
      <c r="BN68" s="388">
        <f t="shared" si="81"/>
        <v>0</v>
      </c>
      <c r="BO68" s="388">
        <f t="shared" si="82"/>
        <v>0</v>
      </c>
      <c r="BP68" s="388">
        <f t="shared" si="83"/>
        <v>0</v>
      </c>
      <c r="BQ68" s="388">
        <f t="shared" si="84"/>
        <v>0</v>
      </c>
      <c r="BR68" s="388">
        <f t="shared" si="85"/>
        <v>0</v>
      </c>
      <c r="BS68" s="388">
        <f t="shared" si="86"/>
        <v>0</v>
      </c>
      <c r="BT68" s="388">
        <f t="shared" si="87"/>
        <v>0</v>
      </c>
      <c r="BU68" s="388">
        <f t="shared" si="88"/>
        <v>0</v>
      </c>
      <c r="BV68" s="388">
        <f t="shared" si="89"/>
        <v>0</v>
      </c>
      <c r="BW68" s="388">
        <f t="shared" si="90"/>
        <v>0</v>
      </c>
      <c r="BX68" s="388">
        <f t="shared" si="105"/>
        <v>0</v>
      </c>
      <c r="BY68" s="388">
        <f t="shared" si="106"/>
        <v>0</v>
      </c>
      <c r="BZ68" s="388">
        <f t="shared" si="107"/>
        <v>0</v>
      </c>
      <c r="CA68" s="388">
        <f t="shared" si="108"/>
        <v>0</v>
      </c>
      <c r="CB68" s="388">
        <f t="shared" si="109"/>
        <v>0</v>
      </c>
      <c r="CC68" s="388">
        <f t="shared" si="91"/>
        <v>0</v>
      </c>
      <c r="CD68" s="388">
        <f t="shared" si="92"/>
        <v>0</v>
      </c>
      <c r="CE68" s="388">
        <f t="shared" si="93"/>
        <v>0</v>
      </c>
      <c r="CF68" s="388">
        <f t="shared" si="94"/>
        <v>0</v>
      </c>
      <c r="CG68" s="388">
        <f t="shared" si="95"/>
        <v>0</v>
      </c>
      <c r="CH68" s="388">
        <f t="shared" si="96"/>
        <v>0</v>
      </c>
      <c r="CI68" s="388">
        <f t="shared" si="97"/>
        <v>0</v>
      </c>
      <c r="CJ68" s="388">
        <f t="shared" si="110"/>
        <v>0</v>
      </c>
      <c r="CK68" s="388" t="str">
        <f t="shared" si="111"/>
        <v/>
      </c>
      <c r="CL68" s="388" t="str">
        <f t="shared" si="112"/>
        <v/>
      </c>
      <c r="CM68" s="388" t="str">
        <f t="shared" si="113"/>
        <v/>
      </c>
      <c r="CN68" s="388" t="str">
        <f t="shared" si="114"/>
        <v>0348-00</v>
      </c>
    </row>
    <row r="69" spans="1:92" ht="15.75" thickBot="1">
      <c r="A69" s="377" t="s">
        <v>162</v>
      </c>
      <c r="B69" s="377" t="s">
        <v>163</v>
      </c>
      <c r="C69" s="377" t="s">
        <v>269</v>
      </c>
      <c r="D69" s="377" t="s">
        <v>270</v>
      </c>
      <c r="E69" s="377" t="s">
        <v>419</v>
      </c>
      <c r="F69" s="378" t="s">
        <v>167</v>
      </c>
      <c r="G69" s="377" t="s">
        <v>168</v>
      </c>
      <c r="H69" s="379"/>
      <c r="I69" s="379"/>
      <c r="J69" s="377" t="s">
        <v>192</v>
      </c>
      <c r="K69" s="377" t="s">
        <v>271</v>
      </c>
      <c r="L69" s="377" t="s">
        <v>188</v>
      </c>
      <c r="M69" s="377" t="s">
        <v>172</v>
      </c>
      <c r="N69" s="377" t="s">
        <v>173</v>
      </c>
      <c r="O69" s="380">
        <v>1</v>
      </c>
      <c r="P69" s="386">
        <v>0.25</v>
      </c>
      <c r="Q69" s="386">
        <v>0.25</v>
      </c>
      <c r="R69" s="381">
        <v>80</v>
      </c>
      <c r="S69" s="386">
        <v>0.25</v>
      </c>
      <c r="T69" s="381">
        <v>15307.34</v>
      </c>
      <c r="U69" s="381">
        <v>0</v>
      </c>
      <c r="V69" s="381">
        <v>6017.66</v>
      </c>
      <c r="W69" s="381">
        <v>16504.8</v>
      </c>
      <c r="X69" s="381">
        <v>6694.15</v>
      </c>
      <c r="Y69" s="381">
        <v>16504.8</v>
      </c>
      <c r="Z69" s="381">
        <v>6856.46</v>
      </c>
      <c r="AA69" s="377" t="s">
        <v>272</v>
      </c>
      <c r="AB69" s="377" t="s">
        <v>273</v>
      </c>
      <c r="AC69" s="377" t="s">
        <v>274</v>
      </c>
      <c r="AD69" s="377" t="s">
        <v>275</v>
      </c>
      <c r="AE69" s="377" t="s">
        <v>271</v>
      </c>
      <c r="AF69" s="377" t="s">
        <v>198</v>
      </c>
      <c r="AG69" s="377" t="s">
        <v>179</v>
      </c>
      <c r="AH69" s="382">
        <v>31.74</v>
      </c>
      <c r="AI69" s="382">
        <v>12482.6</v>
      </c>
      <c r="AJ69" s="377" t="s">
        <v>180</v>
      </c>
      <c r="AK69" s="377" t="s">
        <v>181</v>
      </c>
      <c r="AL69" s="377" t="s">
        <v>182</v>
      </c>
      <c r="AM69" s="377" t="s">
        <v>183</v>
      </c>
      <c r="AN69" s="377" t="s">
        <v>66</v>
      </c>
      <c r="AO69" s="380">
        <v>80</v>
      </c>
      <c r="AP69" s="386">
        <v>1</v>
      </c>
      <c r="AQ69" s="386">
        <v>0.25</v>
      </c>
      <c r="AR69" s="384" t="s">
        <v>184</v>
      </c>
      <c r="AS69" s="388">
        <f t="shared" si="98"/>
        <v>0.25</v>
      </c>
      <c r="AT69">
        <f t="shared" si="99"/>
        <v>1</v>
      </c>
      <c r="AU69" s="388">
        <f>IF(AT69=0,"",IF(AND(AT69=1,M69="F",SUMIF(C2:C112,C69,AS2:AS112)&lt;=1),SUMIF(C2:C112,C69,AS2:AS112),IF(AND(AT69=1,M69="F",SUMIF(C2:C112,C69,AS2:AS112)&gt;1),1,"")))</f>
        <v>1</v>
      </c>
      <c r="AV69" s="388" t="str">
        <f>IF(AT69=0,"",IF(AND(AT69=3,M69="F",SUMIF(C2:C112,C69,AS2:AS112)&lt;=1),SUMIF(C2:C112,C69,AS2:AS112),IF(AND(AT69=3,M69="F",SUMIF(C2:C112,C69,AS2:AS112)&gt;1),1,"")))</f>
        <v/>
      </c>
      <c r="AW69" s="388">
        <f>SUMIF(C2:C112,C69,O2:O112)</f>
        <v>2</v>
      </c>
      <c r="AX69" s="388">
        <f>IF(AND(M69="F",AS69&lt;&gt;0),SUMIF(C2:C112,C69,W2:W112),0)</f>
        <v>66019.199999999997</v>
      </c>
      <c r="AY69" s="388">
        <f t="shared" si="100"/>
        <v>16504.8</v>
      </c>
      <c r="AZ69" s="388" t="str">
        <f t="shared" si="101"/>
        <v/>
      </c>
      <c r="BA69" s="388">
        <f t="shared" si="102"/>
        <v>0</v>
      </c>
      <c r="BB69" s="388">
        <f t="shared" si="71"/>
        <v>3125</v>
      </c>
      <c r="BC69" s="388">
        <f t="shared" si="72"/>
        <v>0</v>
      </c>
      <c r="BD69" s="388">
        <f t="shared" si="73"/>
        <v>1023.2976</v>
      </c>
      <c r="BE69" s="388">
        <f t="shared" si="74"/>
        <v>239.31960000000001</v>
      </c>
      <c r="BF69" s="388">
        <f t="shared" si="75"/>
        <v>1970.6731199999999</v>
      </c>
      <c r="BG69" s="388">
        <f t="shared" si="76"/>
        <v>118.99960799999999</v>
      </c>
      <c r="BH69" s="388">
        <f t="shared" si="77"/>
        <v>0</v>
      </c>
      <c r="BI69" s="388">
        <f t="shared" si="78"/>
        <v>91.354067999999998</v>
      </c>
      <c r="BJ69" s="388">
        <f t="shared" si="79"/>
        <v>125.43647999999999</v>
      </c>
      <c r="BK69" s="388">
        <f t="shared" si="80"/>
        <v>0</v>
      </c>
      <c r="BL69" s="388">
        <f t="shared" si="103"/>
        <v>3569.0804760000001</v>
      </c>
      <c r="BM69" s="388">
        <f t="shared" si="104"/>
        <v>0</v>
      </c>
      <c r="BN69" s="388">
        <f t="shared" si="81"/>
        <v>3437.5</v>
      </c>
      <c r="BO69" s="388">
        <f t="shared" si="82"/>
        <v>0</v>
      </c>
      <c r="BP69" s="388">
        <f t="shared" si="83"/>
        <v>1023.2976</v>
      </c>
      <c r="BQ69" s="388">
        <f t="shared" si="84"/>
        <v>239.31960000000001</v>
      </c>
      <c r="BR69" s="388">
        <f t="shared" si="85"/>
        <v>1845.2366399999999</v>
      </c>
      <c r="BS69" s="388">
        <f t="shared" si="86"/>
        <v>118.99960799999999</v>
      </c>
      <c r="BT69" s="388">
        <f t="shared" si="87"/>
        <v>0</v>
      </c>
      <c r="BU69" s="388">
        <f t="shared" si="88"/>
        <v>91.354067999999998</v>
      </c>
      <c r="BV69" s="388">
        <f t="shared" si="89"/>
        <v>100.67928000000001</v>
      </c>
      <c r="BW69" s="388">
        <f t="shared" si="90"/>
        <v>0</v>
      </c>
      <c r="BX69" s="388">
        <f t="shared" si="105"/>
        <v>3418.8867959999998</v>
      </c>
      <c r="BY69" s="388">
        <f t="shared" si="106"/>
        <v>0</v>
      </c>
      <c r="BZ69" s="388">
        <f t="shared" si="107"/>
        <v>312.5</v>
      </c>
      <c r="CA69" s="388">
        <f t="shared" si="108"/>
        <v>0</v>
      </c>
      <c r="CB69" s="388">
        <f t="shared" si="109"/>
        <v>0</v>
      </c>
      <c r="CC69" s="388">
        <f t="shared" si="91"/>
        <v>0</v>
      </c>
      <c r="CD69" s="388">
        <f t="shared" si="92"/>
        <v>-125.43648000000015</v>
      </c>
      <c r="CE69" s="388">
        <f t="shared" si="93"/>
        <v>0</v>
      </c>
      <c r="CF69" s="388">
        <f t="shared" si="94"/>
        <v>0</v>
      </c>
      <c r="CG69" s="388">
        <f t="shared" si="95"/>
        <v>0</v>
      </c>
      <c r="CH69" s="388">
        <f t="shared" si="96"/>
        <v>-24.757199999999994</v>
      </c>
      <c r="CI69" s="388">
        <f t="shared" si="97"/>
        <v>0</v>
      </c>
      <c r="CJ69" s="388">
        <f t="shared" si="110"/>
        <v>-150.19368000000014</v>
      </c>
      <c r="CK69" s="388" t="str">
        <f t="shared" si="111"/>
        <v/>
      </c>
      <c r="CL69" s="388" t="str">
        <f t="shared" si="112"/>
        <v/>
      </c>
      <c r="CM69" s="388" t="str">
        <f t="shared" si="113"/>
        <v/>
      </c>
      <c r="CN69" s="388" t="str">
        <f t="shared" si="114"/>
        <v>0348-00</v>
      </c>
    </row>
    <row r="70" spans="1:92" ht="15.75" thickBot="1">
      <c r="A70" s="377" t="s">
        <v>162</v>
      </c>
      <c r="B70" s="377" t="s">
        <v>163</v>
      </c>
      <c r="C70" s="377" t="s">
        <v>375</v>
      </c>
      <c r="D70" s="377" t="s">
        <v>249</v>
      </c>
      <c r="E70" s="377" t="s">
        <v>419</v>
      </c>
      <c r="F70" s="378" t="s">
        <v>167</v>
      </c>
      <c r="G70" s="377" t="s">
        <v>168</v>
      </c>
      <c r="H70" s="379"/>
      <c r="I70" s="379"/>
      <c r="J70" s="377" t="s">
        <v>192</v>
      </c>
      <c r="K70" s="377" t="s">
        <v>250</v>
      </c>
      <c r="L70" s="377" t="s">
        <v>179</v>
      </c>
      <c r="M70" s="377" t="s">
        <v>189</v>
      </c>
      <c r="N70" s="377" t="s">
        <v>173</v>
      </c>
      <c r="O70" s="380">
        <v>0</v>
      </c>
      <c r="P70" s="386">
        <v>0.25</v>
      </c>
      <c r="Q70" s="386">
        <v>0.25</v>
      </c>
      <c r="R70" s="381">
        <v>80</v>
      </c>
      <c r="S70" s="386">
        <v>0.25</v>
      </c>
      <c r="T70" s="381">
        <v>3175.72</v>
      </c>
      <c r="U70" s="381">
        <v>0</v>
      </c>
      <c r="V70" s="381">
        <v>1521.45</v>
      </c>
      <c r="W70" s="381">
        <v>8262.7999999999993</v>
      </c>
      <c r="X70" s="381">
        <v>3718.26</v>
      </c>
      <c r="Y70" s="381">
        <v>8262.7999999999993</v>
      </c>
      <c r="Z70" s="381">
        <v>3850.46</v>
      </c>
      <c r="AA70" s="379"/>
      <c r="AB70" s="377" t="s">
        <v>45</v>
      </c>
      <c r="AC70" s="377" t="s">
        <v>45</v>
      </c>
      <c r="AD70" s="379"/>
      <c r="AE70" s="379"/>
      <c r="AF70" s="379"/>
      <c r="AG70" s="379"/>
      <c r="AH70" s="380">
        <v>0</v>
      </c>
      <c r="AI70" s="380">
        <v>0</v>
      </c>
      <c r="AJ70" s="379"/>
      <c r="AK70" s="379"/>
      <c r="AL70" s="377" t="s">
        <v>182</v>
      </c>
      <c r="AM70" s="379"/>
      <c r="AN70" s="379"/>
      <c r="AO70" s="380">
        <v>0</v>
      </c>
      <c r="AP70" s="386">
        <v>0</v>
      </c>
      <c r="AQ70" s="386">
        <v>0</v>
      </c>
      <c r="AR70" s="385"/>
      <c r="AS70" s="388">
        <f t="shared" si="98"/>
        <v>0</v>
      </c>
      <c r="AT70">
        <f t="shared" si="99"/>
        <v>0</v>
      </c>
      <c r="AU70" s="388" t="str">
        <f>IF(AT70=0,"",IF(AND(AT70=1,M70="F",SUMIF(C2:C112,C70,AS2:AS112)&lt;=1),SUMIF(C2:C112,C70,AS2:AS112),IF(AND(AT70=1,M70="F",SUMIF(C2:C112,C70,AS2:AS112)&gt;1),1,"")))</f>
        <v/>
      </c>
      <c r="AV70" s="388" t="str">
        <f>IF(AT70=0,"",IF(AND(AT70=3,M70="F",SUMIF(C2:C112,C70,AS2:AS112)&lt;=1),SUMIF(C2:C112,C70,AS2:AS112),IF(AND(AT70=3,M70="F",SUMIF(C2:C112,C70,AS2:AS112)&gt;1),1,"")))</f>
        <v/>
      </c>
      <c r="AW70" s="388">
        <f>SUMIF(C2:C112,C70,O2:O112)</f>
        <v>0</v>
      </c>
      <c r="AX70" s="388">
        <f>IF(AND(M70="F",AS70&lt;&gt;0),SUMIF(C2:C112,C70,W2:W112),0)</f>
        <v>0</v>
      </c>
      <c r="AY70" s="388" t="str">
        <f t="shared" si="100"/>
        <v/>
      </c>
      <c r="AZ70" s="388" t="str">
        <f t="shared" si="101"/>
        <v/>
      </c>
      <c r="BA70" s="388">
        <f t="shared" si="102"/>
        <v>0</v>
      </c>
      <c r="BB70" s="388">
        <f t="shared" si="71"/>
        <v>0</v>
      </c>
      <c r="BC70" s="388">
        <f t="shared" si="72"/>
        <v>0</v>
      </c>
      <c r="BD70" s="388">
        <f t="shared" si="73"/>
        <v>0</v>
      </c>
      <c r="BE70" s="388">
        <f t="shared" si="74"/>
        <v>0</v>
      </c>
      <c r="BF70" s="388">
        <f t="shared" si="75"/>
        <v>0</v>
      </c>
      <c r="BG70" s="388">
        <f t="shared" si="76"/>
        <v>0</v>
      </c>
      <c r="BH70" s="388">
        <f t="shared" si="77"/>
        <v>0</v>
      </c>
      <c r="BI70" s="388">
        <f t="shared" si="78"/>
        <v>0</v>
      </c>
      <c r="BJ70" s="388">
        <f t="shared" si="79"/>
        <v>0</v>
      </c>
      <c r="BK70" s="388">
        <f t="shared" si="80"/>
        <v>0</v>
      </c>
      <c r="BL70" s="388">
        <f t="shared" si="103"/>
        <v>0</v>
      </c>
      <c r="BM70" s="388">
        <f t="shared" si="104"/>
        <v>0</v>
      </c>
      <c r="BN70" s="388">
        <f t="shared" si="81"/>
        <v>0</v>
      </c>
      <c r="BO70" s="388">
        <f t="shared" si="82"/>
        <v>0</v>
      </c>
      <c r="BP70" s="388">
        <f t="shared" si="83"/>
        <v>0</v>
      </c>
      <c r="BQ70" s="388">
        <f t="shared" si="84"/>
        <v>0</v>
      </c>
      <c r="BR70" s="388">
        <f t="shared" si="85"/>
        <v>0</v>
      </c>
      <c r="BS70" s="388">
        <f t="shared" si="86"/>
        <v>0</v>
      </c>
      <c r="BT70" s="388">
        <f t="shared" si="87"/>
        <v>0</v>
      </c>
      <c r="BU70" s="388">
        <f t="shared" si="88"/>
        <v>0</v>
      </c>
      <c r="BV70" s="388">
        <f t="shared" si="89"/>
        <v>0</v>
      </c>
      <c r="BW70" s="388">
        <f t="shared" si="90"/>
        <v>0</v>
      </c>
      <c r="BX70" s="388">
        <f t="shared" si="105"/>
        <v>0</v>
      </c>
      <c r="BY70" s="388">
        <f t="shared" si="106"/>
        <v>0</v>
      </c>
      <c r="BZ70" s="388">
        <f t="shared" si="107"/>
        <v>0</v>
      </c>
      <c r="CA70" s="388">
        <f t="shared" si="108"/>
        <v>0</v>
      </c>
      <c r="CB70" s="388">
        <f t="shared" si="109"/>
        <v>0</v>
      </c>
      <c r="CC70" s="388">
        <f t="shared" si="91"/>
        <v>0</v>
      </c>
      <c r="CD70" s="388">
        <f t="shared" si="92"/>
        <v>0</v>
      </c>
      <c r="CE70" s="388">
        <f t="shared" si="93"/>
        <v>0</v>
      </c>
      <c r="CF70" s="388">
        <f t="shared" si="94"/>
        <v>0</v>
      </c>
      <c r="CG70" s="388">
        <f t="shared" si="95"/>
        <v>0</v>
      </c>
      <c r="CH70" s="388">
        <f t="shared" si="96"/>
        <v>0</v>
      </c>
      <c r="CI70" s="388">
        <f t="shared" si="97"/>
        <v>0</v>
      </c>
      <c r="CJ70" s="388">
        <f t="shared" si="110"/>
        <v>0</v>
      </c>
      <c r="CK70" s="388" t="str">
        <f t="shared" si="111"/>
        <v/>
      </c>
      <c r="CL70" s="388" t="str">
        <f t="shared" si="112"/>
        <v/>
      </c>
      <c r="CM70" s="388" t="str">
        <f t="shared" si="113"/>
        <v/>
      </c>
      <c r="CN70" s="388" t="str">
        <f t="shared" si="114"/>
        <v>0348-00</v>
      </c>
    </row>
    <row r="71" spans="1:92" ht="15.75" thickBot="1">
      <c r="A71" s="377" t="s">
        <v>162</v>
      </c>
      <c r="B71" s="377" t="s">
        <v>163</v>
      </c>
      <c r="C71" s="377" t="s">
        <v>276</v>
      </c>
      <c r="D71" s="377" t="s">
        <v>277</v>
      </c>
      <c r="E71" s="377" t="s">
        <v>419</v>
      </c>
      <c r="F71" s="378" t="s">
        <v>167</v>
      </c>
      <c r="G71" s="377" t="s">
        <v>168</v>
      </c>
      <c r="H71" s="379"/>
      <c r="I71" s="379"/>
      <c r="J71" s="377" t="s">
        <v>192</v>
      </c>
      <c r="K71" s="377" t="s">
        <v>278</v>
      </c>
      <c r="L71" s="377" t="s">
        <v>177</v>
      </c>
      <c r="M71" s="377" t="s">
        <v>172</v>
      </c>
      <c r="N71" s="377" t="s">
        <v>173</v>
      </c>
      <c r="O71" s="380">
        <v>1</v>
      </c>
      <c r="P71" s="386">
        <v>0.25</v>
      </c>
      <c r="Q71" s="386">
        <v>0.25</v>
      </c>
      <c r="R71" s="381">
        <v>80</v>
      </c>
      <c r="S71" s="386">
        <v>0.25</v>
      </c>
      <c r="T71" s="381">
        <v>13410.65</v>
      </c>
      <c r="U71" s="381">
        <v>0</v>
      </c>
      <c r="V71" s="381">
        <v>5599.19</v>
      </c>
      <c r="W71" s="381">
        <v>14248</v>
      </c>
      <c r="X71" s="381">
        <v>6206.12</v>
      </c>
      <c r="Y71" s="381">
        <v>14248</v>
      </c>
      <c r="Z71" s="381">
        <v>6388.96</v>
      </c>
      <c r="AA71" s="377" t="s">
        <v>279</v>
      </c>
      <c r="AB71" s="377" t="s">
        <v>280</v>
      </c>
      <c r="AC71" s="377" t="s">
        <v>217</v>
      </c>
      <c r="AD71" s="377" t="s">
        <v>281</v>
      </c>
      <c r="AE71" s="377" t="s">
        <v>278</v>
      </c>
      <c r="AF71" s="377" t="s">
        <v>237</v>
      </c>
      <c r="AG71" s="377" t="s">
        <v>179</v>
      </c>
      <c r="AH71" s="382">
        <v>27.4</v>
      </c>
      <c r="AI71" s="382">
        <v>46508.1</v>
      </c>
      <c r="AJ71" s="377" t="s">
        <v>180</v>
      </c>
      <c r="AK71" s="377" t="s">
        <v>181</v>
      </c>
      <c r="AL71" s="377" t="s">
        <v>182</v>
      </c>
      <c r="AM71" s="377" t="s">
        <v>183</v>
      </c>
      <c r="AN71" s="377" t="s">
        <v>66</v>
      </c>
      <c r="AO71" s="380">
        <v>80</v>
      </c>
      <c r="AP71" s="386">
        <v>1</v>
      </c>
      <c r="AQ71" s="386">
        <v>0.25</v>
      </c>
      <c r="AR71" s="384" t="s">
        <v>184</v>
      </c>
      <c r="AS71" s="388">
        <f t="shared" si="98"/>
        <v>0.25</v>
      </c>
      <c r="AT71">
        <f t="shared" si="99"/>
        <v>1</v>
      </c>
      <c r="AU71" s="388">
        <f>IF(AT71=0,"",IF(AND(AT71=1,M71="F",SUMIF(C2:C112,C71,AS2:AS112)&lt;=1),SUMIF(C2:C112,C71,AS2:AS112),IF(AND(AT71=1,M71="F",SUMIF(C2:C112,C71,AS2:AS112)&gt;1),1,"")))</f>
        <v>1</v>
      </c>
      <c r="AV71" s="388" t="str">
        <f>IF(AT71=0,"",IF(AND(AT71=3,M71="F",SUMIF(C2:C112,C71,AS2:AS112)&lt;=1),SUMIF(C2:C112,C71,AS2:AS112),IF(AND(AT71=3,M71="F",SUMIF(C2:C112,C71,AS2:AS112)&gt;1),1,"")))</f>
        <v/>
      </c>
      <c r="AW71" s="388">
        <f>SUMIF(C2:C112,C71,O2:O112)</f>
        <v>2</v>
      </c>
      <c r="AX71" s="388">
        <f>IF(AND(M71="F",AS71&lt;&gt;0),SUMIF(C2:C112,C71,W2:W112),0)</f>
        <v>56992</v>
      </c>
      <c r="AY71" s="388">
        <f t="shared" si="100"/>
        <v>14248</v>
      </c>
      <c r="AZ71" s="388" t="str">
        <f t="shared" si="101"/>
        <v/>
      </c>
      <c r="BA71" s="388">
        <f t="shared" si="102"/>
        <v>0</v>
      </c>
      <c r="BB71" s="388">
        <f t="shared" si="71"/>
        <v>3125</v>
      </c>
      <c r="BC71" s="388">
        <f t="shared" si="72"/>
        <v>0</v>
      </c>
      <c r="BD71" s="388">
        <f t="shared" si="73"/>
        <v>883.37599999999998</v>
      </c>
      <c r="BE71" s="388">
        <f t="shared" si="74"/>
        <v>206.596</v>
      </c>
      <c r="BF71" s="388">
        <f t="shared" si="75"/>
        <v>1701.2112000000002</v>
      </c>
      <c r="BG71" s="388">
        <f t="shared" si="76"/>
        <v>102.72808000000001</v>
      </c>
      <c r="BH71" s="388">
        <f t="shared" si="77"/>
        <v>0</v>
      </c>
      <c r="BI71" s="388">
        <f t="shared" si="78"/>
        <v>78.862679999999997</v>
      </c>
      <c r="BJ71" s="388">
        <f t="shared" si="79"/>
        <v>108.2848</v>
      </c>
      <c r="BK71" s="388">
        <f t="shared" si="80"/>
        <v>0</v>
      </c>
      <c r="BL71" s="388">
        <f t="shared" si="103"/>
        <v>3081.0587600000003</v>
      </c>
      <c r="BM71" s="388">
        <f t="shared" si="104"/>
        <v>0</v>
      </c>
      <c r="BN71" s="388">
        <f t="shared" si="81"/>
        <v>3437.5</v>
      </c>
      <c r="BO71" s="388">
        <f t="shared" si="82"/>
        <v>0</v>
      </c>
      <c r="BP71" s="388">
        <f t="shared" si="83"/>
        <v>883.37599999999998</v>
      </c>
      <c r="BQ71" s="388">
        <f t="shared" si="84"/>
        <v>206.596</v>
      </c>
      <c r="BR71" s="388">
        <f t="shared" si="85"/>
        <v>1592.9264000000001</v>
      </c>
      <c r="BS71" s="388">
        <f t="shared" si="86"/>
        <v>102.72808000000001</v>
      </c>
      <c r="BT71" s="388">
        <f t="shared" si="87"/>
        <v>0</v>
      </c>
      <c r="BU71" s="388">
        <f t="shared" si="88"/>
        <v>78.862679999999997</v>
      </c>
      <c r="BV71" s="388">
        <f t="shared" si="89"/>
        <v>86.912800000000004</v>
      </c>
      <c r="BW71" s="388">
        <f t="shared" si="90"/>
        <v>0</v>
      </c>
      <c r="BX71" s="388">
        <f t="shared" si="105"/>
        <v>2951.4019600000001</v>
      </c>
      <c r="BY71" s="388">
        <f t="shared" si="106"/>
        <v>0</v>
      </c>
      <c r="BZ71" s="388">
        <f t="shared" si="107"/>
        <v>312.5</v>
      </c>
      <c r="CA71" s="388">
        <f t="shared" si="108"/>
        <v>0</v>
      </c>
      <c r="CB71" s="388">
        <f t="shared" si="109"/>
        <v>0</v>
      </c>
      <c r="CC71" s="388">
        <f t="shared" si="91"/>
        <v>0</v>
      </c>
      <c r="CD71" s="388">
        <f t="shared" si="92"/>
        <v>-108.28480000000013</v>
      </c>
      <c r="CE71" s="388">
        <f t="shared" si="93"/>
        <v>0</v>
      </c>
      <c r="CF71" s="388">
        <f t="shared" si="94"/>
        <v>0</v>
      </c>
      <c r="CG71" s="388">
        <f t="shared" si="95"/>
        <v>0</v>
      </c>
      <c r="CH71" s="388">
        <f t="shared" si="96"/>
        <v>-21.371999999999993</v>
      </c>
      <c r="CI71" s="388">
        <f t="shared" si="97"/>
        <v>0</v>
      </c>
      <c r="CJ71" s="388">
        <f t="shared" si="110"/>
        <v>-129.65680000000012</v>
      </c>
      <c r="CK71" s="388" t="str">
        <f t="shared" si="111"/>
        <v/>
      </c>
      <c r="CL71" s="388" t="str">
        <f t="shared" si="112"/>
        <v/>
      </c>
      <c r="CM71" s="388" t="str">
        <f t="shared" si="113"/>
        <v/>
      </c>
      <c r="CN71" s="388" t="str">
        <f t="shared" si="114"/>
        <v>0348-00</v>
      </c>
    </row>
    <row r="72" spans="1:92" ht="15.75" thickBot="1">
      <c r="A72" s="377" t="s">
        <v>162</v>
      </c>
      <c r="B72" s="377" t="s">
        <v>163</v>
      </c>
      <c r="C72" s="377" t="s">
        <v>462</v>
      </c>
      <c r="D72" s="377" t="s">
        <v>454</v>
      </c>
      <c r="E72" s="377" t="s">
        <v>419</v>
      </c>
      <c r="F72" s="378" t="s">
        <v>167</v>
      </c>
      <c r="G72" s="377" t="s">
        <v>168</v>
      </c>
      <c r="H72" s="379"/>
      <c r="I72" s="379"/>
      <c r="J72" s="377" t="s">
        <v>169</v>
      </c>
      <c r="K72" s="377" t="s">
        <v>455</v>
      </c>
      <c r="L72" s="377" t="s">
        <v>385</v>
      </c>
      <c r="M72" s="377" t="s">
        <v>172</v>
      </c>
      <c r="N72" s="377" t="s">
        <v>173</v>
      </c>
      <c r="O72" s="380">
        <v>1</v>
      </c>
      <c r="P72" s="386">
        <v>0</v>
      </c>
      <c r="Q72" s="386">
        <v>0</v>
      </c>
      <c r="R72" s="381">
        <v>80</v>
      </c>
      <c r="S72" s="386">
        <v>0</v>
      </c>
      <c r="T72" s="381">
        <v>7260.16</v>
      </c>
      <c r="U72" s="381">
        <v>0</v>
      </c>
      <c r="V72" s="381">
        <v>3170.87</v>
      </c>
      <c r="W72" s="381">
        <v>0</v>
      </c>
      <c r="X72" s="381">
        <v>0</v>
      </c>
      <c r="Y72" s="381">
        <v>0</v>
      </c>
      <c r="Z72" s="381">
        <v>0</v>
      </c>
      <c r="AA72" s="377" t="s">
        <v>463</v>
      </c>
      <c r="AB72" s="377" t="s">
        <v>464</v>
      </c>
      <c r="AC72" s="377" t="s">
        <v>465</v>
      </c>
      <c r="AD72" s="377" t="s">
        <v>385</v>
      </c>
      <c r="AE72" s="377" t="s">
        <v>234</v>
      </c>
      <c r="AF72" s="377" t="s">
        <v>237</v>
      </c>
      <c r="AG72" s="377" t="s">
        <v>179</v>
      </c>
      <c r="AH72" s="382">
        <v>26.27</v>
      </c>
      <c r="AI72" s="382">
        <v>12432.7</v>
      </c>
      <c r="AJ72" s="377" t="s">
        <v>180</v>
      </c>
      <c r="AK72" s="377" t="s">
        <v>181</v>
      </c>
      <c r="AL72" s="377" t="s">
        <v>182</v>
      </c>
      <c r="AM72" s="377" t="s">
        <v>183</v>
      </c>
      <c r="AN72" s="377" t="s">
        <v>66</v>
      </c>
      <c r="AO72" s="380">
        <v>80</v>
      </c>
      <c r="AP72" s="386">
        <v>1</v>
      </c>
      <c r="AQ72" s="386">
        <v>0</v>
      </c>
      <c r="AR72" s="384" t="s">
        <v>184</v>
      </c>
      <c r="AS72" s="388">
        <f t="shared" si="98"/>
        <v>0</v>
      </c>
      <c r="AT72">
        <f t="shared" si="99"/>
        <v>0</v>
      </c>
      <c r="AU72" s="388" t="str">
        <f>IF(AT72=0,"",IF(AND(AT72=1,M72="F",SUMIF(C2:C112,C72,AS2:AS112)&lt;=1),SUMIF(C2:C112,C72,AS2:AS112),IF(AND(AT72=1,M72="F",SUMIF(C2:C112,C72,AS2:AS112)&gt;1),1,"")))</f>
        <v/>
      </c>
      <c r="AV72" s="388" t="str">
        <f>IF(AT72=0,"",IF(AND(AT72=3,M72="F",SUMIF(C2:C112,C72,AS2:AS112)&lt;=1),SUMIF(C2:C112,C72,AS2:AS112),IF(AND(AT72=3,M72="F",SUMIF(C2:C112,C72,AS2:AS112)&gt;1),1,"")))</f>
        <v/>
      </c>
      <c r="AW72" s="388">
        <f>SUMIF(C2:C112,C72,O2:O112)</f>
        <v>2</v>
      </c>
      <c r="AX72" s="388">
        <f>IF(AND(M72="F",AS72&lt;&gt;0),SUMIF(C2:C112,C72,W2:W112),0)</f>
        <v>0</v>
      </c>
      <c r="AY72" s="388" t="str">
        <f t="shared" si="100"/>
        <v/>
      </c>
      <c r="AZ72" s="388" t="str">
        <f t="shared" si="101"/>
        <v/>
      </c>
      <c r="BA72" s="388">
        <f t="shared" si="102"/>
        <v>0</v>
      </c>
      <c r="BB72" s="388">
        <f t="shared" si="71"/>
        <v>0</v>
      </c>
      <c r="BC72" s="388">
        <f t="shared" si="72"/>
        <v>0</v>
      </c>
      <c r="BD72" s="388">
        <f t="shared" si="73"/>
        <v>0</v>
      </c>
      <c r="BE72" s="388">
        <f t="shared" si="74"/>
        <v>0</v>
      </c>
      <c r="BF72" s="388">
        <f t="shared" si="75"/>
        <v>0</v>
      </c>
      <c r="BG72" s="388">
        <f t="shared" si="76"/>
        <v>0</v>
      </c>
      <c r="BH72" s="388">
        <f t="shared" si="77"/>
        <v>0</v>
      </c>
      <c r="BI72" s="388">
        <f t="shared" si="78"/>
        <v>0</v>
      </c>
      <c r="BJ72" s="388">
        <f t="shared" si="79"/>
        <v>0</v>
      </c>
      <c r="BK72" s="388">
        <f t="shared" si="80"/>
        <v>0</v>
      </c>
      <c r="BL72" s="388">
        <f t="shared" si="103"/>
        <v>0</v>
      </c>
      <c r="BM72" s="388">
        <f t="shared" si="104"/>
        <v>0</v>
      </c>
      <c r="BN72" s="388">
        <f t="shared" si="81"/>
        <v>0</v>
      </c>
      <c r="BO72" s="388">
        <f t="shared" si="82"/>
        <v>0</v>
      </c>
      <c r="BP72" s="388">
        <f t="shared" si="83"/>
        <v>0</v>
      </c>
      <c r="BQ72" s="388">
        <f t="shared" si="84"/>
        <v>0</v>
      </c>
      <c r="BR72" s="388">
        <f t="shared" si="85"/>
        <v>0</v>
      </c>
      <c r="BS72" s="388">
        <f t="shared" si="86"/>
        <v>0</v>
      </c>
      <c r="BT72" s="388">
        <f t="shared" si="87"/>
        <v>0</v>
      </c>
      <c r="BU72" s="388">
        <f t="shared" si="88"/>
        <v>0</v>
      </c>
      <c r="BV72" s="388">
        <f t="shared" si="89"/>
        <v>0</v>
      </c>
      <c r="BW72" s="388">
        <f t="shared" si="90"/>
        <v>0</v>
      </c>
      <c r="BX72" s="388">
        <f t="shared" si="105"/>
        <v>0</v>
      </c>
      <c r="BY72" s="388">
        <f t="shared" si="106"/>
        <v>0</v>
      </c>
      <c r="BZ72" s="388">
        <f t="shared" si="107"/>
        <v>0</v>
      </c>
      <c r="CA72" s="388">
        <f t="shared" si="108"/>
        <v>0</v>
      </c>
      <c r="CB72" s="388">
        <f t="shared" si="109"/>
        <v>0</v>
      </c>
      <c r="CC72" s="388">
        <f t="shared" si="91"/>
        <v>0</v>
      </c>
      <c r="CD72" s="388">
        <f t="shared" si="92"/>
        <v>0</v>
      </c>
      <c r="CE72" s="388">
        <f t="shared" si="93"/>
        <v>0</v>
      </c>
      <c r="CF72" s="388">
        <f t="shared" si="94"/>
        <v>0</v>
      </c>
      <c r="CG72" s="388">
        <f t="shared" si="95"/>
        <v>0</v>
      </c>
      <c r="CH72" s="388">
        <f t="shared" si="96"/>
        <v>0</v>
      </c>
      <c r="CI72" s="388">
        <f t="shared" si="97"/>
        <v>0</v>
      </c>
      <c r="CJ72" s="388">
        <f t="shared" si="110"/>
        <v>0</v>
      </c>
      <c r="CK72" s="388" t="str">
        <f t="shared" si="111"/>
        <v/>
      </c>
      <c r="CL72" s="388" t="str">
        <f t="shared" si="112"/>
        <v/>
      </c>
      <c r="CM72" s="388" t="str">
        <f t="shared" si="113"/>
        <v/>
      </c>
      <c r="CN72" s="388" t="str">
        <f t="shared" si="114"/>
        <v>0348-00</v>
      </c>
    </row>
    <row r="73" spans="1:92" ht="15.75" thickBot="1">
      <c r="A73" s="377" t="s">
        <v>162</v>
      </c>
      <c r="B73" s="377" t="s">
        <v>163</v>
      </c>
      <c r="C73" s="377" t="s">
        <v>466</v>
      </c>
      <c r="D73" s="377" t="s">
        <v>467</v>
      </c>
      <c r="E73" s="377" t="s">
        <v>419</v>
      </c>
      <c r="F73" s="378" t="s">
        <v>167</v>
      </c>
      <c r="G73" s="377" t="s">
        <v>168</v>
      </c>
      <c r="H73" s="379"/>
      <c r="I73" s="379"/>
      <c r="J73" s="377" t="s">
        <v>169</v>
      </c>
      <c r="K73" s="377" t="s">
        <v>468</v>
      </c>
      <c r="L73" s="377" t="s">
        <v>177</v>
      </c>
      <c r="M73" s="377" t="s">
        <v>172</v>
      </c>
      <c r="N73" s="377" t="s">
        <v>173</v>
      </c>
      <c r="O73" s="380">
        <v>1</v>
      </c>
      <c r="P73" s="386">
        <v>1</v>
      </c>
      <c r="Q73" s="386">
        <v>1</v>
      </c>
      <c r="R73" s="381">
        <v>80</v>
      </c>
      <c r="S73" s="386">
        <v>1</v>
      </c>
      <c r="T73" s="381">
        <v>52354.83</v>
      </c>
      <c r="U73" s="381">
        <v>0</v>
      </c>
      <c r="V73" s="381">
        <v>22937.53</v>
      </c>
      <c r="W73" s="381">
        <v>60777.599999999999</v>
      </c>
      <c r="X73" s="381">
        <v>25643.119999999999</v>
      </c>
      <c r="Y73" s="381">
        <v>60777.599999999999</v>
      </c>
      <c r="Z73" s="381">
        <v>26340.05</v>
      </c>
      <c r="AA73" s="377" t="s">
        <v>469</v>
      </c>
      <c r="AB73" s="377" t="s">
        <v>470</v>
      </c>
      <c r="AC73" s="377" t="s">
        <v>471</v>
      </c>
      <c r="AD73" s="377" t="s">
        <v>188</v>
      </c>
      <c r="AE73" s="377" t="s">
        <v>468</v>
      </c>
      <c r="AF73" s="377" t="s">
        <v>237</v>
      </c>
      <c r="AG73" s="377" t="s">
        <v>179</v>
      </c>
      <c r="AH73" s="382">
        <v>29.22</v>
      </c>
      <c r="AI73" s="380">
        <v>7204</v>
      </c>
      <c r="AJ73" s="377" t="s">
        <v>180</v>
      </c>
      <c r="AK73" s="377" t="s">
        <v>181</v>
      </c>
      <c r="AL73" s="377" t="s">
        <v>182</v>
      </c>
      <c r="AM73" s="377" t="s">
        <v>183</v>
      </c>
      <c r="AN73" s="377" t="s">
        <v>66</v>
      </c>
      <c r="AO73" s="380">
        <v>80</v>
      </c>
      <c r="AP73" s="386">
        <v>1</v>
      </c>
      <c r="AQ73" s="386">
        <v>1</v>
      </c>
      <c r="AR73" s="384" t="s">
        <v>184</v>
      </c>
      <c r="AS73" s="388">
        <f t="shared" si="98"/>
        <v>1</v>
      </c>
      <c r="AT73">
        <f t="shared" si="99"/>
        <v>1</v>
      </c>
      <c r="AU73" s="388">
        <f>IF(AT73=0,"",IF(AND(AT73=1,M73="F",SUMIF(C2:C112,C73,AS2:AS112)&lt;=1),SUMIF(C2:C112,C73,AS2:AS112),IF(AND(AT73=1,M73="F",SUMIF(C2:C112,C73,AS2:AS112)&gt;1),1,"")))</f>
        <v>1</v>
      </c>
      <c r="AV73" s="388" t="str">
        <f>IF(AT73=0,"",IF(AND(AT73=3,M73="F",SUMIF(C2:C112,C73,AS2:AS112)&lt;=1),SUMIF(C2:C112,C73,AS2:AS112),IF(AND(AT73=3,M73="F",SUMIF(C2:C112,C73,AS2:AS112)&gt;1),1,"")))</f>
        <v/>
      </c>
      <c r="AW73" s="388">
        <f>SUMIF(C2:C112,C73,O2:O112)</f>
        <v>1</v>
      </c>
      <c r="AX73" s="388">
        <f>IF(AND(M73="F",AS73&lt;&gt;0),SUMIF(C2:C112,C73,W2:W112),0)</f>
        <v>60777.599999999999</v>
      </c>
      <c r="AY73" s="388">
        <f t="shared" si="100"/>
        <v>60777.599999999999</v>
      </c>
      <c r="AZ73" s="388" t="str">
        <f t="shared" si="101"/>
        <v/>
      </c>
      <c r="BA73" s="388">
        <f t="shared" si="102"/>
        <v>0</v>
      </c>
      <c r="BB73" s="388">
        <f t="shared" si="71"/>
        <v>12500</v>
      </c>
      <c r="BC73" s="388">
        <f t="shared" si="72"/>
        <v>0</v>
      </c>
      <c r="BD73" s="388">
        <f t="shared" si="73"/>
        <v>3768.2111999999997</v>
      </c>
      <c r="BE73" s="388">
        <f t="shared" si="74"/>
        <v>881.27520000000004</v>
      </c>
      <c r="BF73" s="388">
        <f t="shared" si="75"/>
        <v>7256.8454400000001</v>
      </c>
      <c r="BG73" s="388">
        <f t="shared" si="76"/>
        <v>438.20649600000002</v>
      </c>
      <c r="BH73" s="388">
        <f t="shared" si="77"/>
        <v>0</v>
      </c>
      <c r="BI73" s="388">
        <f t="shared" si="78"/>
        <v>336.40401600000001</v>
      </c>
      <c r="BJ73" s="388">
        <f t="shared" si="79"/>
        <v>461.90976000000001</v>
      </c>
      <c r="BK73" s="388">
        <f t="shared" si="80"/>
        <v>0</v>
      </c>
      <c r="BL73" s="388">
        <f t="shared" si="103"/>
        <v>13142.852112</v>
      </c>
      <c r="BM73" s="388">
        <f t="shared" si="104"/>
        <v>0</v>
      </c>
      <c r="BN73" s="388">
        <f t="shared" si="81"/>
        <v>13750</v>
      </c>
      <c r="BO73" s="388">
        <f t="shared" si="82"/>
        <v>0</v>
      </c>
      <c r="BP73" s="388">
        <f t="shared" si="83"/>
        <v>3768.2111999999997</v>
      </c>
      <c r="BQ73" s="388">
        <f t="shared" si="84"/>
        <v>881.27520000000004</v>
      </c>
      <c r="BR73" s="388">
        <f t="shared" si="85"/>
        <v>6794.9356799999996</v>
      </c>
      <c r="BS73" s="388">
        <f t="shared" si="86"/>
        <v>438.20649600000002</v>
      </c>
      <c r="BT73" s="388">
        <f t="shared" si="87"/>
        <v>0</v>
      </c>
      <c r="BU73" s="388">
        <f t="shared" si="88"/>
        <v>336.40401600000001</v>
      </c>
      <c r="BV73" s="388">
        <f t="shared" si="89"/>
        <v>370.74336</v>
      </c>
      <c r="BW73" s="388">
        <f t="shared" si="90"/>
        <v>0</v>
      </c>
      <c r="BX73" s="388">
        <f t="shared" si="105"/>
        <v>12589.775952000002</v>
      </c>
      <c r="BY73" s="388">
        <f t="shared" si="106"/>
        <v>0</v>
      </c>
      <c r="BZ73" s="388">
        <f t="shared" si="107"/>
        <v>1250</v>
      </c>
      <c r="CA73" s="388">
        <f t="shared" si="108"/>
        <v>0</v>
      </c>
      <c r="CB73" s="388">
        <f t="shared" si="109"/>
        <v>0</v>
      </c>
      <c r="CC73" s="388">
        <f t="shared" si="91"/>
        <v>0</v>
      </c>
      <c r="CD73" s="388">
        <f t="shared" si="92"/>
        <v>-461.90976000000057</v>
      </c>
      <c r="CE73" s="388">
        <f t="shared" si="93"/>
        <v>0</v>
      </c>
      <c r="CF73" s="388">
        <f t="shared" si="94"/>
        <v>0</v>
      </c>
      <c r="CG73" s="388">
        <f t="shared" si="95"/>
        <v>0</v>
      </c>
      <c r="CH73" s="388">
        <f t="shared" si="96"/>
        <v>-91.166399999999967</v>
      </c>
      <c r="CI73" s="388">
        <f t="shared" si="97"/>
        <v>0</v>
      </c>
      <c r="CJ73" s="388">
        <f t="shared" si="110"/>
        <v>-553.07616000000053</v>
      </c>
      <c r="CK73" s="388" t="str">
        <f t="shared" si="111"/>
        <v/>
      </c>
      <c r="CL73" s="388" t="str">
        <f t="shared" si="112"/>
        <v/>
      </c>
      <c r="CM73" s="388" t="str">
        <f t="shared" si="113"/>
        <v/>
      </c>
      <c r="CN73" s="388" t="str">
        <f t="shared" si="114"/>
        <v>0348-00</v>
      </c>
    </row>
    <row r="74" spans="1:92" ht="15.75" thickBot="1">
      <c r="A74" s="377" t="s">
        <v>162</v>
      </c>
      <c r="B74" s="377" t="s">
        <v>163</v>
      </c>
      <c r="C74" s="377" t="s">
        <v>472</v>
      </c>
      <c r="D74" s="377" t="s">
        <v>473</v>
      </c>
      <c r="E74" s="377" t="s">
        <v>419</v>
      </c>
      <c r="F74" s="378" t="s">
        <v>167</v>
      </c>
      <c r="G74" s="377" t="s">
        <v>168</v>
      </c>
      <c r="H74" s="379"/>
      <c r="I74" s="379"/>
      <c r="J74" s="377" t="s">
        <v>169</v>
      </c>
      <c r="K74" s="377" t="s">
        <v>474</v>
      </c>
      <c r="L74" s="377" t="s">
        <v>177</v>
      </c>
      <c r="M74" s="377" t="s">
        <v>189</v>
      </c>
      <c r="N74" s="377" t="s">
        <v>173</v>
      </c>
      <c r="O74" s="380">
        <v>0</v>
      </c>
      <c r="P74" s="386">
        <v>1</v>
      </c>
      <c r="Q74" s="386">
        <v>1</v>
      </c>
      <c r="R74" s="381">
        <v>80</v>
      </c>
      <c r="S74" s="386">
        <v>1</v>
      </c>
      <c r="T74" s="381">
        <v>28902.95</v>
      </c>
      <c r="U74" s="381">
        <v>0</v>
      </c>
      <c r="V74" s="381">
        <v>11606.09</v>
      </c>
      <c r="W74" s="381">
        <v>48817.599999999999</v>
      </c>
      <c r="X74" s="381">
        <v>21967.919999999998</v>
      </c>
      <c r="Y74" s="381">
        <v>48817.599999999999</v>
      </c>
      <c r="Z74" s="381">
        <v>22749</v>
      </c>
      <c r="AA74" s="379"/>
      <c r="AB74" s="377" t="s">
        <v>45</v>
      </c>
      <c r="AC74" s="377" t="s">
        <v>45</v>
      </c>
      <c r="AD74" s="379"/>
      <c r="AE74" s="379"/>
      <c r="AF74" s="379"/>
      <c r="AG74" s="379"/>
      <c r="AH74" s="380">
        <v>0</v>
      </c>
      <c r="AI74" s="380">
        <v>0</v>
      </c>
      <c r="AJ74" s="379"/>
      <c r="AK74" s="379"/>
      <c r="AL74" s="377" t="s">
        <v>182</v>
      </c>
      <c r="AM74" s="379"/>
      <c r="AN74" s="379"/>
      <c r="AO74" s="380">
        <v>0</v>
      </c>
      <c r="AP74" s="386">
        <v>0</v>
      </c>
      <c r="AQ74" s="386">
        <v>0</v>
      </c>
      <c r="AR74" s="385"/>
      <c r="AS74" s="388">
        <f t="shared" si="98"/>
        <v>0</v>
      </c>
      <c r="AT74">
        <f t="shared" si="99"/>
        <v>0</v>
      </c>
      <c r="AU74" s="388" t="str">
        <f>IF(AT74=0,"",IF(AND(AT74=1,M74="F",SUMIF(C2:C112,C74,AS2:AS112)&lt;=1),SUMIF(C2:C112,C74,AS2:AS112),IF(AND(AT74=1,M74="F",SUMIF(C2:C112,C74,AS2:AS112)&gt;1),1,"")))</f>
        <v/>
      </c>
      <c r="AV74" s="388" t="str">
        <f>IF(AT74=0,"",IF(AND(AT74=3,M74="F",SUMIF(C2:C112,C74,AS2:AS112)&lt;=1),SUMIF(C2:C112,C74,AS2:AS112),IF(AND(AT74=3,M74="F",SUMIF(C2:C112,C74,AS2:AS112)&gt;1),1,"")))</f>
        <v/>
      </c>
      <c r="AW74" s="388">
        <f>SUMIF(C2:C112,C74,O2:O112)</f>
        <v>0</v>
      </c>
      <c r="AX74" s="388">
        <f>IF(AND(M74="F",AS74&lt;&gt;0),SUMIF(C2:C112,C74,W2:W112),0)</f>
        <v>0</v>
      </c>
      <c r="AY74" s="388" t="str">
        <f t="shared" si="100"/>
        <v/>
      </c>
      <c r="AZ74" s="388" t="str">
        <f t="shared" si="101"/>
        <v/>
      </c>
      <c r="BA74" s="388">
        <f t="shared" si="102"/>
        <v>0</v>
      </c>
      <c r="BB74" s="388">
        <f t="shared" si="71"/>
        <v>0</v>
      </c>
      <c r="BC74" s="388">
        <f t="shared" si="72"/>
        <v>0</v>
      </c>
      <c r="BD74" s="388">
        <f t="shared" si="73"/>
        <v>0</v>
      </c>
      <c r="BE74" s="388">
        <f t="shared" si="74"/>
        <v>0</v>
      </c>
      <c r="BF74" s="388">
        <f t="shared" si="75"/>
        <v>0</v>
      </c>
      <c r="BG74" s="388">
        <f t="shared" si="76"/>
        <v>0</v>
      </c>
      <c r="BH74" s="388">
        <f t="shared" si="77"/>
        <v>0</v>
      </c>
      <c r="BI74" s="388">
        <f t="shared" si="78"/>
        <v>0</v>
      </c>
      <c r="BJ74" s="388">
        <f t="shared" si="79"/>
        <v>0</v>
      </c>
      <c r="BK74" s="388">
        <f t="shared" si="80"/>
        <v>0</v>
      </c>
      <c r="BL74" s="388">
        <f t="shared" si="103"/>
        <v>0</v>
      </c>
      <c r="BM74" s="388">
        <f t="shared" si="104"/>
        <v>0</v>
      </c>
      <c r="BN74" s="388">
        <f t="shared" si="81"/>
        <v>0</v>
      </c>
      <c r="BO74" s="388">
        <f t="shared" si="82"/>
        <v>0</v>
      </c>
      <c r="BP74" s="388">
        <f t="shared" si="83"/>
        <v>0</v>
      </c>
      <c r="BQ74" s="388">
        <f t="shared" si="84"/>
        <v>0</v>
      </c>
      <c r="BR74" s="388">
        <f t="shared" si="85"/>
        <v>0</v>
      </c>
      <c r="BS74" s="388">
        <f t="shared" si="86"/>
        <v>0</v>
      </c>
      <c r="BT74" s="388">
        <f t="shared" si="87"/>
        <v>0</v>
      </c>
      <c r="BU74" s="388">
        <f t="shared" si="88"/>
        <v>0</v>
      </c>
      <c r="BV74" s="388">
        <f t="shared" si="89"/>
        <v>0</v>
      </c>
      <c r="BW74" s="388">
        <f t="shared" si="90"/>
        <v>0</v>
      </c>
      <c r="BX74" s="388">
        <f t="shared" si="105"/>
        <v>0</v>
      </c>
      <c r="BY74" s="388">
        <f t="shared" si="106"/>
        <v>0</v>
      </c>
      <c r="BZ74" s="388">
        <f t="shared" si="107"/>
        <v>0</v>
      </c>
      <c r="CA74" s="388">
        <f t="shared" si="108"/>
        <v>0</v>
      </c>
      <c r="CB74" s="388">
        <f t="shared" si="109"/>
        <v>0</v>
      </c>
      <c r="CC74" s="388">
        <f t="shared" si="91"/>
        <v>0</v>
      </c>
      <c r="CD74" s="388">
        <f t="shared" si="92"/>
        <v>0</v>
      </c>
      <c r="CE74" s="388">
        <f t="shared" si="93"/>
        <v>0</v>
      </c>
      <c r="CF74" s="388">
        <f t="shared" si="94"/>
        <v>0</v>
      </c>
      <c r="CG74" s="388">
        <f t="shared" si="95"/>
        <v>0</v>
      </c>
      <c r="CH74" s="388">
        <f t="shared" si="96"/>
        <v>0</v>
      </c>
      <c r="CI74" s="388">
        <f t="shared" si="97"/>
        <v>0</v>
      </c>
      <c r="CJ74" s="388">
        <f t="shared" si="110"/>
        <v>0</v>
      </c>
      <c r="CK74" s="388" t="str">
        <f t="shared" si="111"/>
        <v/>
      </c>
      <c r="CL74" s="388" t="str">
        <f t="shared" si="112"/>
        <v/>
      </c>
      <c r="CM74" s="388" t="str">
        <f t="shared" si="113"/>
        <v/>
      </c>
      <c r="CN74" s="388" t="str">
        <f t="shared" si="114"/>
        <v>0348-00</v>
      </c>
    </row>
    <row r="75" spans="1:92" ht="15.75" thickBot="1">
      <c r="A75" s="377" t="s">
        <v>162</v>
      </c>
      <c r="B75" s="377" t="s">
        <v>163</v>
      </c>
      <c r="C75" s="377" t="s">
        <v>475</v>
      </c>
      <c r="D75" s="377" t="s">
        <v>476</v>
      </c>
      <c r="E75" s="377" t="s">
        <v>419</v>
      </c>
      <c r="F75" s="378" t="s">
        <v>167</v>
      </c>
      <c r="G75" s="377" t="s">
        <v>168</v>
      </c>
      <c r="H75" s="379"/>
      <c r="I75" s="379"/>
      <c r="J75" s="377" t="s">
        <v>169</v>
      </c>
      <c r="K75" s="377" t="s">
        <v>477</v>
      </c>
      <c r="L75" s="377" t="s">
        <v>177</v>
      </c>
      <c r="M75" s="377" t="s">
        <v>172</v>
      </c>
      <c r="N75" s="377" t="s">
        <v>173</v>
      </c>
      <c r="O75" s="380">
        <v>1</v>
      </c>
      <c r="P75" s="386">
        <v>1</v>
      </c>
      <c r="Q75" s="386">
        <v>1</v>
      </c>
      <c r="R75" s="381">
        <v>80</v>
      </c>
      <c r="S75" s="386">
        <v>1</v>
      </c>
      <c r="T75" s="381">
        <v>55170.92</v>
      </c>
      <c r="U75" s="381">
        <v>0</v>
      </c>
      <c r="V75" s="381">
        <v>23547.05</v>
      </c>
      <c r="W75" s="381">
        <v>62067.199999999997</v>
      </c>
      <c r="X75" s="381">
        <v>25922.01</v>
      </c>
      <c r="Y75" s="381">
        <v>62067.199999999997</v>
      </c>
      <c r="Z75" s="381">
        <v>26607.19</v>
      </c>
      <c r="AA75" s="377" t="s">
        <v>478</v>
      </c>
      <c r="AB75" s="377" t="s">
        <v>479</v>
      </c>
      <c r="AC75" s="377" t="s">
        <v>480</v>
      </c>
      <c r="AD75" s="377" t="s">
        <v>385</v>
      </c>
      <c r="AE75" s="377" t="s">
        <v>477</v>
      </c>
      <c r="AF75" s="377" t="s">
        <v>237</v>
      </c>
      <c r="AG75" s="377" t="s">
        <v>179</v>
      </c>
      <c r="AH75" s="382">
        <v>29.84</v>
      </c>
      <c r="AI75" s="380">
        <v>28998</v>
      </c>
      <c r="AJ75" s="377" t="s">
        <v>180</v>
      </c>
      <c r="AK75" s="377" t="s">
        <v>181</v>
      </c>
      <c r="AL75" s="377" t="s">
        <v>182</v>
      </c>
      <c r="AM75" s="377" t="s">
        <v>183</v>
      </c>
      <c r="AN75" s="377" t="s">
        <v>66</v>
      </c>
      <c r="AO75" s="380">
        <v>80</v>
      </c>
      <c r="AP75" s="386">
        <v>1</v>
      </c>
      <c r="AQ75" s="386">
        <v>1</v>
      </c>
      <c r="AR75" s="384" t="s">
        <v>184</v>
      </c>
      <c r="AS75" s="388">
        <f t="shared" si="98"/>
        <v>1</v>
      </c>
      <c r="AT75">
        <f t="shared" si="99"/>
        <v>1</v>
      </c>
      <c r="AU75" s="388">
        <f>IF(AT75=0,"",IF(AND(AT75=1,M75="F",SUMIF(C2:C112,C75,AS2:AS112)&lt;=1),SUMIF(C2:C112,C75,AS2:AS112),IF(AND(AT75=1,M75="F",SUMIF(C2:C112,C75,AS2:AS112)&gt;1),1,"")))</f>
        <v>1</v>
      </c>
      <c r="AV75" s="388" t="str">
        <f>IF(AT75=0,"",IF(AND(AT75=3,M75="F",SUMIF(C2:C112,C75,AS2:AS112)&lt;=1),SUMIF(C2:C112,C75,AS2:AS112),IF(AND(AT75=3,M75="F",SUMIF(C2:C112,C75,AS2:AS112)&gt;1),1,"")))</f>
        <v/>
      </c>
      <c r="AW75" s="388">
        <f>SUMIF(C2:C112,C75,O2:O112)</f>
        <v>1</v>
      </c>
      <c r="AX75" s="388">
        <f>IF(AND(M75="F",AS75&lt;&gt;0),SUMIF(C2:C112,C75,W2:W112),0)</f>
        <v>62067.199999999997</v>
      </c>
      <c r="AY75" s="388">
        <f t="shared" si="100"/>
        <v>62067.199999999997</v>
      </c>
      <c r="AZ75" s="388" t="str">
        <f t="shared" si="101"/>
        <v/>
      </c>
      <c r="BA75" s="388">
        <f t="shared" si="102"/>
        <v>0</v>
      </c>
      <c r="BB75" s="388">
        <f t="shared" si="71"/>
        <v>12500</v>
      </c>
      <c r="BC75" s="388">
        <f t="shared" si="72"/>
        <v>0</v>
      </c>
      <c r="BD75" s="388">
        <f t="shared" si="73"/>
        <v>3848.1663999999996</v>
      </c>
      <c r="BE75" s="388">
        <f t="shared" si="74"/>
        <v>899.97440000000006</v>
      </c>
      <c r="BF75" s="388">
        <f t="shared" si="75"/>
        <v>7410.8236800000004</v>
      </c>
      <c r="BG75" s="388">
        <f t="shared" si="76"/>
        <v>447.50451199999998</v>
      </c>
      <c r="BH75" s="388">
        <f t="shared" si="77"/>
        <v>0</v>
      </c>
      <c r="BI75" s="388">
        <f t="shared" si="78"/>
        <v>343.54195199999998</v>
      </c>
      <c r="BJ75" s="388">
        <f t="shared" si="79"/>
        <v>471.71071999999998</v>
      </c>
      <c r="BK75" s="388">
        <f t="shared" si="80"/>
        <v>0</v>
      </c>
      <c r="BL75" s="388">
        <f t="shared" si="103"/>
        <v>13421.721663999997</v>
      </c>
      <c r="BM75" s="388">
        <f t="shared" si="104"/>
        <v>0</v>
      </c>
      <c r="BN75" s="388">
        <f t="shared" si="81"/>
        <v>13750</v>
      </c>
      <c r="BO75" s="388">
        <f t="shared" si="82"/>
        <v>0</v>
      </c>
      <c r="BP75" s="388">
        <f t="shared" si="83"/>
        <v>3848.1663999999996</v>
      </c>
      <c r="BQ75" s="388">
        <f t="shared" si="84"/>
        <v>899.97440000000006</v>
      </c>
      <c r="BR75" s="388">
        <f t="shared" si="85"/>
        <v>6939.1129599999995</v>
      </c>
      <c r="BS75" s="388">
        <f t="shared" si="86"/>
        <v>447.50451199999998</v>
      </c>
      <c r="BT75" s="388">
        <f t="shared" si="87"/>
        <v>0</v>
      </c>
      <c r="BU75" s="388">
        <f t="shared" si="88"/>
        <v>343.54195199999998</v>
      </c>
      <c r="BV75" s="388">
        <f t="shared" si="89"/>
        <v>378.60991999999999</v>
      </c>
      <c r="BW75" s="388">
        <f t="shared" si="90"/>
        <v>0</v>
      </c>
      <c r="BX75" s="388">
        <f t="shared" si="105"/>
        <v>12856.910143999999</v>
      </c>
      <c r="BY75" s="388">
        <f t="shared" si="106"/>
        <v>0</v>
      </c>
      <c r="BZ75" s="388">
        <f t="shared" si="107"/>
        <v>1250</v>
      </c>
      <c r="CA75" s="388">
        <f t="shared" si="108"/>
        <v>0</v>
      </c>
      <c r="CB75" s="388">
        <f t="shared" si="109"/>
        <v>0</v>
      </c>
      <c r="CC75" s="388">
        <f t="shared" si="91"/>
        <v>0</v>
      </c>
      <c r="CD75" s="388">
        <f t="shared" si="92"/>
        <v>-471.71072000000055</v>
      </c>
      <c r="CE75" s="388">
        <f t="shared" si="93"/>
        <v>0</v>
      </c>
      <c r="CF75" s="388">
        <f t="shared" si="94"/>
        <v>0</v>
      </c>
      <c r="CG75" s="388">
        <f t="shared" si="95"/>
        <v>0</v>
      </c>
      <c r="CH75" s="388">
        <f t="shared" si="96"/>
        <v>-93.100799999999964</v>
      </c>
      <c r="CI75" s="388">
        <f t="shared" si="97"/>
        <v>0</v>
      </c>
      <c r="CJ75" s="388">
        <f t="shared" si="110"/>
        <v>-564.81152000000054</v>
      </c>
      <c r="CK75" s="388" t="str">
        <f t="shared" si="111"/>
        <v/>
      </c>
      <c r="CL75" s="388" t="str">
        <f t="shared" si="112"/>
        <v/>
      </c>
      <c r="CM75" s="388" t="str">
        <f t="shared" si="113"/>
        <v/>
      </c>
      <c r="CN75" s="388" t="str">
        <f t="shared" si="114"/>
        <v>0348-00</v>
      </c>
    </row>
    <row r="76" spans="1:92" ht="15.75" thickBot="1">
      <c r="A76" s="377" t="s">
        <v>162</v>
      </c>
      <c r="B76" s="377" t="s">
        <v>163</v>
      </c>
      <c r="C76" s="377" t="s">
        <v>481</v>
      </c>
      <c r="D76" s="377" t="s">
        <v>482</v>
      </c>
      <c r="E76" s="377" t="s">
        <v>419</v>
      </c>
      <c r="F76" s="378" t="s">
        <v>167</v>
      </c>
      <c r="G76" s="377" t="s">
        <v>168</v>
      </c>
      <c r="H76" s="379"/>
      <c r="I76" s="379"/>
      <c r="J76" s="377" t="s">
        <v>169</v>
      </c>
      <c r="K76" s="377" t="s">
        <v>483</v>
      </c>
      <c r="L76" s="377" t="s">
        <v>179</v>
      </c>
      <c r="M76" s="377" t="s">
        <v>172</v>
      </c>
      <c r="N76" s="377" t="s">
        <v>214</v>
      </c>
      <c r="O76" s="380">
        <v>0</v>
      </c>
      <c r="P76" s="386">
        <v>0</v>
      </c>
      <c r="Q76" s="386">
        <v>0</v>
      </c>
      <c r="R76" s="381">
        <v>0</v>
      </c>
      <c r="S76" s="386">
        <v>0</v>
      </c>
      <c r="T76" s="381">
        <v>4607.3599999999997</v>
      </c>
      <c r="U76" s="381">
        <v>156.51</v>
      </c>
      <c r="V76" s="381">
        <v>432.52</v>
      </c>
      <c r="W76" s="381">
        <v>0</v>
      </c>
      <c r="X76" s="381">
        <v>0</v>
      </c>
      <c r="Y76" s="381">
        <v>0</v>
      </c>
      <c r="Z76" s="381">
        <v>0</v>
      </c>
      <c r="AA76" s="379"/>
      <c r="AB76" s="377" t="s">
        <v>45</v>
      </c>
      <c r="AC76" s="377" t="s">
        <v>45</v>
      </c>
      <c r="AD76" s="379"/>
      <c r="AE76" s="379"/>
      <c r="AF76" s="379"/>
      <c r="AG76" s="379"/>
      <c r="AH76" s="380">
        <v>0</v>
      </c>
      <c r="AI76" s="380">
        <v>0</v>
      </c>
      <c r="AJ76" s="379"/>
      <c r="AK76" s="379"/>
      <c r="AL76" s="377" t="s">
        <v>182</v>
      </c>
      <c r="AM76" s="379"/>
      <c r="AN76" s="379"/>
      <c r="AO76" s="380">
        <v>0</v>
      </c>
      <c r="AP76" s="386">
        <v>0</v>
      </c>
      <c r="AQ76" s="386">
        <v>0</v>
      </c>
      <c r="AR76" s="385"/>
      <c r="AS76" s="388">
        <f t="shared" si="98"/>
        <v>0</v>
      </c>
      <c r="AT76">
        <f t="shared" si="99"/>
        <v>0</v>
      </c>
      <c r="AU76" s="388" t="str">
        <f>IF(AT76=0,"",IF(AND(AT76=1,M76="F",SUMIF(C2:C112,C76,AS2:AS112)&lt;=1),SUMIF(C2:C112,C76,AS2:AS112),IF(AND(AT76=1,M76="F",SUMIF(C2:C112,C76,AS2:AS112)&gt;1),1,"")))</f>
        <v/>
      </c>
      <c r="AV76" s="388" t="str">
        <f>IF(AT76=0,"",IF(AND(AT76=3,M76="F",SUMIF(C2:C112,C76,AS2:AS112)&lt;=1),SUMIF(C2:C112,C76,AS2:AS112),IF(AND(AT76=3,M76="F",SUMIF(C2:C112,C76,AS2:AS112)&gt;1),1,"")))</f>
        <v/>
      </c>
      <c r="AW76" s="388">
        <f>SUMIF(C2:C112,C76,O2:O112)</f>
        <v>0</v>
      </c>
      <c r="AX76" s="388">
        <f>IF(AND(M76="F",AS76&lt;&gt;0),SUMIF(C2:C112,C76,W2:W112),0)</f>
        <v>0</v>
      </c>
      <c r="AY76" s="388" t="str">
        <f t="shared" si="100"/>
        <v/>
      </c>
      <c r="AZ76" s="388" t="str">
        <f t="shared" si="101"/>
        <v/>
      </c>
      <c r="BA76" s="388">
        <f t="shared" si="102"/>
        <v>0</v>
      </c>
      <c r="BB76" s="388">
        <f t="shared" si="71"/>
        <v>0</v>
      </c>
      <c r="BC76" s="388">
        <f t="shared" si="72"/>
        <v>0</v>
      </c>
      <c r="BD76" s="388">
        <f t="shared" si="73"/>
        <v>0</v>
      </c>
      <c r="BE76" s="388">
        <f t="shared" si="74"/>
        <v>0</v>
      </c>
      <c r="BF76" s="388">
        <f t="shared" si="75"/>
        <v>0</v>
      </c>
      <c r="BG76" s="388">
        <f t="shared" si="76"/>
        <v>0</v>
      </c>
      <c r="BH76" s="388">
        <f t="shared" si="77"/>
        <v>0</v>
      </c>
      <c r="BI76" s="388">
        <f t="shared" si="78"/>
        <v>0</v>
      </c>
      <c r="BJ76" s="388">
        <f t="shared" si="79"/>
        <v>0</v>
      </c>
      <c r="BK76" s="388">
        <f t="shared" si="80"/>
        <v>0</v>
      </c>
      <c r="BL76" s="388">
        <f t="shared" si="103"/>
        <v>0</v>
      </c>
      <c r="BM76" s="388">
        <f t="shared" si="104"/>
        <v>0</v>
      </c>
      <c r="BN76" s="388">
        <f t="shared" si="81"/>
        <v>0</v>
      </c>
      <c r="BO76" s="388">
        <f t="shared" si="82"/>
        <v>0</v>
      </c>
      <c r="BP76" s="388">
        <f t="shared" si="83"/>
        <v>0</v>
      </c>
      <c r="BQ76" s="388">
        <f t="shared" si="84"/>
        <v>0</v>
      </c>
      <c r="BR76" s="388">
        <f t="shared" si="85"/>
        <v>0</v>
      </c>
      <c r="BS76" s="388">
        <f t="shared" si="86"/>
        <v>0</v>
      </c>
      <c r="BT76" s="388">
        <f t="shared" si="87"/>
        <v>0</v>
      </c>
      <c r="BU76" s="388">
        <f t="shared" si="88"/>
        <v>0</v>
      </c>
      <c r="BV76" s="388">
        <f t="shared" si="89"/>
        <v>0</v>
      </c>
      <c r="BW76" s="388">
        <f t="shared" si="90"/>
        <v>0</v>
      </c>
      <c r="BX76" s="388">
        <f t="shared" si="105"/>
        <v>0</v>
      </c>
      <c r="BY76" s="388">
        <f t="shared" si="106"/>
        <v>0</v>
      </c>
      <c r="BZ76" s="388">
        <f t="shared" si="107"/>
        <v>0</v>
      </c>
      <c r="CA76" s="388">
        <f t="shared" si="108"/>
        <v>0</v>
      </c>
      <c r="CB76" s="388">
        <f t="shared" si="109"/>
        <v>0</v>
      </c>
      <c r="CC76" s="388">
        <f t="shared" si="91"/>
        <v>0</v>
      </c>
      <c r="CD76" s="388">
        <f t="shared" si="92"/>
        <v>0</v>
      </c>
      <c r="CE76" s="388">
        <f t="shared" si="93"/>
        <v>0</v>
      </c>
      <c r="CF76" s="388">
        <f t="shared" si="94"/>
        <v>0</v>
      </c>
      <c r="CG76" s="388">
        <f t="shared" si="95"/>
        <v>0</v>
      </c>
      <c r="CH76" s="388">
        <f t="shared" si="96"/>
        <v>0</v>
      </c>
      <c r="CI76" s="388">
        <f t="shared" si="97"/>
        <v>0</v>
      </c>
      <c r="CJ76" s="388">
        <f t="shared" si="110"/>
        <v>0</v>
      </c>
      <c r="CK76" s="388" t="str">
        <f t="shared" si="111"/>
        <v/>
      </c>
      <c r="CL76" s="388">
        <f t="shared" si="112"/>
        <v>4763.87</v>
      </c>
      <c r="CM76" s="388">
        <f t="shared" si="113"/>
        <v>432.52</v>
      </c>
      <c r="CN76" s="388" t="str">
        <f t="shared" si="114"/>
        <v>0348-00</v>
      </c>
    </row>
    <row r="77" spans="1:92" ht="15.75" thickBot="1">
      <c r="A77" s="377" t="s">
        <v>162</v>
      </c>
      <c r="B77" s="377" t="s">
        <v>163</v>
      </c>
      <c r="C77" s="377" t="s">
        <v>484</v>
      </c>
      <c r="D77" s="377" t="s">
        <v>485</v>
      </c>
      <c r="E77" s="377" t="s">
        <v>419</v>
      </c>
      <c r="F77" s="378" t="s">
        <v>167</v>
      </c>
      <c r="G77" s="377" t="s">
        <v>168</v>
      </c>
      <c r="H77" s="379"/>
      <c r="I77" s="379"/>
      <c r="J77" s="377" t="s">
        <v>169</v>
      </c>
      <c r="K77" s="377" t="s">
        <v>486</v>
      </c>
      <c r="L77" s="377" t="s">
        <v>182</v>
      </c>
      <c r="M77" s="377" t="s">
        <v>172</v>
      </c>
      <c r="N77" s="377" t="s">
        <v>173</v>
      </c>
      <c r="O77" s="380">
        <v>1</v>
      </c>
      <c r="P77" s="386">
        <v>1</v>
      </c>
      <c r="Q77" s="386">
        <v>1</v>
      </c>
      <c r="R77" s="381">
        <v>80</v>
      </c>
      <c r="S77" s="386">
        <v>1</v>
      </c>
      <c r="T77" s="381">
        <v>76850.05</v>
      </c>
      <c r="U77" s="381">
        <v>0</v>
      </c>
      <c r="V77" s="381">
        <v>27666.89</v>
      </c>
      <c r="W77" s="381">
        <v>76398.399999999994</v>
      </c>
      <c r="X77" s="381">
        <v>29021.119999999999</v>
      </c>
      <c r="Y77" s="381">
        <v>76398.399999999994</v>
      </c>
      <c r="Z77" s="381">
        <v>29575.91</v>
      </c>
      <c r="AA77" s="377" t="s">
        <v>487</v>
      </c>
      <c r="AB77" s="377" t="s">
        <v>488</v>
      </c>
      <c r="AC77" s="377" t="s">
        <v>489</v>
      </c>
      <c r="AD77" s="377" t="s">
        <v>188</v>
      </c>
      <c r="AE77" s="377" t="s">
        <v>486</v>
      </c>
      <c r="AF77" s="377" t="s">
        <v>334</v>
      </c>
      <c r="AG77" s="377" t="s">
        <v>179</v>
      </c>
      <c r="AH77" s="382">
        <v>36.729999999999997</v>
      </c>
      <c r="AI77" s="382">
        <v>41401.5</v>
      </c>
      <c r="AJ77" s="377" t="s">
        <v>180</v>
      </c>
      <c r="AK77" s="377" t="s">
        <v>181</v>
      </c>
      <c r="AL77" s="377" t="s">
        <v>182</v>
      </c>
      <c r="AM77" s="377" t="s">
        <v>183</v>
      </c>
      <c r="AN77" s="377" t="s">
        <v>66</v>
      </c>
      <c r="AO77" s="380">
        <v>80</v>
      </c>
      <c r="AP77" s="386">
        <v>1</v>
      </c>
      <c r="AQ77" s="386">
        <v>1</v>
      </c>
      <c r="AR77" s="384" t="s">
        <v>184</v>
      </c>
      <c r="AS77" s="388">
        <f t="shared" si="98"/>
        <v>1</v>
      </c>
      <c r="AT77">
        <f t="shared" si="99"/>
        <v>1</v>
      </c>
      <c r="AU77" s="388">
        <f>IF(AT77=0,"",IF(AND(AT77=1,M77="F",SUMIF(C2:C112,C77,AS2:AS112)&lt;=1),SUMIF(C2:C112,C77,AS2:AS112),IF(AND(AT77=1,M77="F",SUMIF(C2:C112,C77,AS2:AS112)&gt;1),1,"")))</f>
        <v>1</v>
      </c>
      <c r="AV77" s="388" t="str">
        <f>IF(AT77=0,"",IF(AND(AT77=3,M77="F",SUMIF(C2:C112,C77,AS2:AS112)&lt;=1),SUMIF(C2:C112,C77,AS2:AS112),IF(AND(AT77=3,M77="F",SUMIF(C2:C112,C77,AS2:AS112)&gt;1),1,"")))</f>
        <v/>
      </c>
      <c r="AW77" s="388">
        <f>SUMIF(C2:C112,C77,O2:O112)</f>
        <v>1</v>
      </c>
      <c r="AX77" s="388">
        <f>IF(AND(M77="F",AS77&lt;&gt;0),SUMIF(C2:C112,C77,W2:W112),0)</f>
        <v>76398.399999999994</v>
      </c>
      <c r="AY77" s="388">
        <f t="shared" si="100"/>
        <v>76398.399999999994</v>
      </c>
      <c r="AZ77" s="388" t="str">
        <f t="shared" si="101"/>
        <v/>
      </c>
      <c r="BA77" s="388">
        <f t="shared" si="102"/>
        <v>0</v>
      </c>
      <c r="BB77" s="388">
        <f t="shared" si="71"/>
        <v>12500</v>
      </c>
      <c r="BC77" s="388">
        <f t="shared" si="72"/>
        <v>0</v>
      </c>
      <c r="BD77" s="388">
        <f t="shared" si="73"/>
        <v>4736.7007999999996</v>
      </c>
      <c r="BE77" s="388">
        <f t="shared" si="74"/>
        <v>1107.7767999999999</v>
      </c>
      <c r="BF77" s="388">
        <f t="shared" si="75"/>
        <v>9121.9689600000002</v>
      </c>
      <c r="BG77" s="388">
        <f t="shared" si="76"/>
        <v>550.83246399999996</v>
      </c>
      <c r="BH77" s="388">
        <f t="shared" si="77"/>
        <v>0</v>
      </c>
      <c r="BI77" s="388">
        <f t="shared" si="78"/>
        <v>422.86514399999999</v>
      </c>
      <c r="BJ77" s="388">
        <f t="shared" si="79"/>
        <v>580.62783999999999</v>
      </c>
      <c r="BK77" s="388">
        <f t="shared" si="80"/>
        <v>0</v>
      </c>
      <c r="BL77" s="388">
        <f t="shared" si="103"/>
        <v>16520.772008</v>
      </c>
      <c r="BM77" s="388">
        <f t="shared" si="104"/>
        <v>0</v>
      </c>
      <c r="BN77" s="388">
        <f t="shared" si="81"/>
        <v>13750</v>
      </c>
      <c r="BO77" s="388">
        <f t="shared" si="82"/>
        <v>0</v>
      </c>
      <c r="BP77" s="388">
        <f t="shared" si="83"/>
        <v>4736.7007999999996</v>
      </c>
      <c r="BQ77" s="388">
        <f t="shared" si="84"/>
        <v>1107.7767999999999</v>
      </c>
      <c r="BR77" s="388">
        <f t="shared" si="85"/>
        <v>8541.3411199999991</v>
      </c>
      <c r="BS77" s="388">
        <f t="shared" si="86"/>
        <v>550.83246399999996</v>
      </c>
      <c r="BT77" s="388">
        <f t="shared" si="87"/>
        <v>0</v>
      </c>
      <c r="BU77" s="388">
        <f t="shared" si="88"/>
        <v>422.86514399999999</v>
      </c>
      <c r="BV77" s="388">
        <f t="shared" si="89"/>
        <v>466.03023999999999</v>
      </c>
      <c r="BW77" s="388">
        <f t="shared" si="90"/>
        <v>0</v>
      </c>
      <c r="BX77" s="388">
        <f t="shared" si="105"/>
        <v>15825.546567999998</v>
      </c>
      <c r="BY77" s="388">
        <f t="shared" si="106"/>
        <v>0</v>
      </c>
      <c r="BZ77" s="388">
        <f t="shared" si="107"/>
        <v>1250</v>
      </c>
      <c r="CA77" s="388">
        <f t="shared" si="108"/>
        <v>0</v>
      </c>
      <c r="CB77" s="388">
        <f t="shared" si="109"/>
        <v>0</v>
      </c>
      <c r="CC77" s="388">
        <f t="shared" si="91"/>
        <v>0</v>
      </c>
      <c r="CD77" s="388">
        <f t="shared" si="92"/>
        <v>-580.62784000000067</v>
      </c>
      <c r="CE77" s="388">
        <f t="shared" si="93"/>
        <v>0</v>
      </c>
      <c r="CF77" s="388">
        <f t="shared" si="94"/>
        <v>0</v>
      </c>
      <c r="CG77" s="388">
        <f t="shared" si="95"/>
        <v>0</v>
      </c>
      <c r="CH77" s="388">
        <f t="shared" si="96"/>
        <v>-114.59759999999996</v>
      </c>
      <c r="CI77" s="388">
        <f t="shared" si="97"/>
        <v>0</v>
      </c>
      <c r="CJ77" s="388">
        <f t="shared" si="110"/>
        <v>-695.22544000000062</v>
      </c>
      <c r="CK77" s="388" t="str">
        <f t="shared" si="111"/>
        <v/>
      </c>
      <c r="CL77" s="388" t="str">
        <f t="shared" si="112"/>
        <v/>
      </c>
      <c r="CM77" s="388" t="str">
        <f t="shared" si="113"/>
        <v/>
      </c>
      <c r="CN77" s="388" t="str">
        <f t="shared" si="114"/>
        <v>0348-00</v>
      </c>
    </row>
    <row r="78" spans="1:92" ht="15.75" thickBot="1">
      <c r="A78" s="377" t="s">
        <v>162</v>
      </c>
      <c r="B78" s="377" t="s">
        <v>163</v>
      </c>
      <c r="C78" s="377" t="s">
        <v>490</v>
      </c>
      <c r="D78" s="377" t="s">
        <v>491</v>
      </c>
      <c r="E78" s="377" t="s">
        <v>419</v>
      </c>
      <c r="F78" s="378" t="s">
        <v>167</v>
      </c>
      <c r="G78" s="377" t="s">
        <v>168</v>
      </c>
      <c r="H78" s="379"/>
      <c r="I78" s="379"/>
      <c r="J78" s="377" t="s">
        <v>169</v>
      </c>
      <c r="K78" s="377" t="s">
        <v>492</v>
      </c>
      <c r="L78" s="377" t="s">
        <v>177</v>
      </c>
      <c r="M78" s="377" t="s">
        <v>172</v>
      </c>
      <c r="N78" s="377" t="s">
        <v>173</v>
      </c>
      <c r="O78" s="380">
        <v>1</v>
      </c>
      <c r="P78" s="386">
        <v>1</v>
      </c>
      <c r="Q78" s="386">
        <v>1</v>
      </c>
      <c r="R78" s="381">
        <v>80</v>
      </c>
      <c r="S78" s="386">
        <v>1</v>
      </c>
      <c r="T78" s="381">
        <v>50646.8</v>
      </c>
      <c r="U78" s="381">
        <v>0</v>
      </c>
      <c r="V78" s="381">
        <v>23693.93</v>
      </c>
      <c r="W78" s="381">
        <v>59737.599999999999</v>
      </c>
      <c r="X78" s="381">
        <v>25418.22</v>
      </c>
      <c r="Y78" s="381">
        <v>59737.599999999999</v>
      </c>
      <c r="Z78" s="381">
        <v>26124.61</v>
      </c>
      <c r="AA78" s="377" t="s">
        <v>493</v>
      </c>
      <c r="AB78" s="377" t="s">
        <v>494</v>
      </c>
      <c r="AC78" s="377" t="s">
        <v>495</v>
      </c>
      <c r="AD78" s="377" t="s">
        <v>496</v>
      </c>
      <c r="AE78" s="377" t="s">
        <v>492</v>
      </c>
      <c r="AF78" s="377" t="s">
        <v>237</v>
      </c>
      <c r="AG78" s="377" t="s">
        <v>179</v>
      </c>
      <c r="AH78" s="382">
        <v>28.72</v>
      </c>
      <c r="AI78" s="380">
        <v>2306</v>
      </c>
      <c r="AJ78" s="377" t="s">
        <v>180</v>
      </c>
      <c r="AK78" s="377" t="s">
        <v>181</v>
      </c>
      <c r="AL78" s="377" t="s">
        <v>182</v>
      </c>
      <c r="AM78" s="377" t="s">
        <v>183</v>
      </c>
      <c r="AN78" s="377" t="s">
        <v>66</v>
      </c>
      <c r="AO78" s="380">
        <v>80</v>
      </c>
      <c r="AP78" s="386">
        <v>1</v>
      </c>
      <c r="AQ78" s="386">
        <v>1</v>
      </c>
      <c r="AR78" s="384" t="s">
        <v>184</v>
      </c>
      <c r="AS78" s="388">
        <f t="shared" si="98"/>
        <v>1</v>
      </c>
      <c r="AT78">
        <f t="shared" si="99"/>
        <v>1</v>
      </c>
      <c r="AU78" s="388">
        <f>IF(AT78=0,"",IF(AND(AT78=1,M78="F",SUMIF(C2:C112,C78,AS2:AS112)&lt;=1),SUMIF(C2:C112,C78,AS2:AS112),IF(AND(AT78=1,M78="F",SUMIF(C2:C112,C78,AS2:AS112)&gt;1),1,"")))</f>
        <v>1</v>
      </c>
      <c r="AV78" s="388" t="str">
        <f>IF(AT78=0,"",IF(AND(AT78=3,M78="F",SUMIF(C2:C112,C78,AS2:AS112)&lt;=1),SUMIF(C2:C112,C78,AS2:AS112),IF(AND(AT78=3,M78="F",SUMIF(C2:C112,C78,AS2:AS112)&gt;1),1,"")))</f>
        <v/>
      </c>
      <c r="AW78" s="388">
        <f>SUMIF(C2:C112,C78,O2:O112)</f>
        <v>1</v>
      </c>
      <c r="AX78" s="388">
        <f>IF(AND(M78="F",AS78&lt;&gt;0),SUMIF(C2:C112,C78,W2:W112),0)</f>
        <v>59737.599999999999</v>
      </c>
      <c r="AY78" s="388">
        <f t="shared" si="100"/>
        <v>59737.599999999999</v>
      </c>
      <c r="AZ78" s="388" t="str">
        <f t="shared" si="101"/>
        <v/>
      </c>
      <c r="BA78" s="388">
        <f t="shared" si="102"/>
        <v>0</v>
      </c>
      <c r="BB78" s="388">
        <f t="shared" si="71"/>
        <v>12500</v>
      </c>
      <c r="BC78" s="388">
        <f t="shared" si="72"/>
        <v>0</v>
      </c>
      <c r="BD78" s="388">
        <f t="shared" si="73"/>
        <v>3703.7311999999997</v>
      </c>
      <c r="BE78" s="388">
        <f t="shared" si="74"/>
        <v>866.1952</v>
      </c>
      <c r="BF78" s="388">
        <f t="shared" si="75"/>
        <v>7132.6694400000006</v>
      </c>
      <c r="BG78" s="388">
        <f t="shared" si="76"/>
        <v>430.70809600000001</v>
      </c>
      <c r="BH78" s="388">
        <f t="shared" si="77"/>
        <v>0</v>
      </c>
      <c r="BI78" s="388">
        <f t="shared" si="78"/>
        <v>330.64761599999997</v>
      </c>
      <c r="BJ78" s="388">
        <f t="shared" si="79"/>
        <v>454.00576000000001</v>
      </c>
      <c r="BK78" s="388">
        <f t="shared" si="80"/>
        <v>0</v>
      </c>
      <c r="BL78" s="388">
        <f t="shared" si="103"/>
        <v>12917.957312</v>
      </c>
      <c r="BM78" s="388">
        <f t="shared" si="104"/>
        <v>0</v>
      </c>
      <c r="BN78" s="388">
        <f t="shared" si="81"/>
        <v>13750</v>
      </c>
      <c r="BO78" s="388">
        <f t="shared" si="82"/>
        <v>0</v>
      </c>
      <c r="BP78" s="388">
        <f t="shared" si="83"/>
        <v>3703.7311999999997</v>
      </c>
      <c r="BQ78" s="388">
        <f t="shared" si="84"/>
        <v>866.1952</v>
      </c>
      <c r="BR78" s="388">
        <f t="shared" si="85"/>
        <v>6678.6636799999997</v>
      </c>
      <c r="BS78" s="388">
        <f t="shared" si="86"/>
        <v>430.70809600000001</v>
      </c>
      <c r="BT78" s="388">
        <f t="shared" si="87"/>
        <v>0</v>
      </c>
      <c r="BU78" s="388">
        <f t="shared" si="88"/>
        <v>330.64761599999997</v>
      </c>
      <c r="BV78" s="388">
        <f t="shared" si="89"/>
        <v>364.39936</v>
      </c>
      <c r="BW78" s="388">
        <f t="shared" si="90"/>
        <v>0</v>
      </c>
      <c r="BX78" s="388">
        <f t="shared" si="105"/>
        <v>12374.345151999998</v>
      </c>
      <c r="BY78" s="388">
        <f t="shared" si="106"/>
        <v>0</v>
      </c>
      <c r="BZ78" s="388">
        <f t="shared" si="107"/>
        <v>1250</v>
      </c>
      <c r="CA78" s="388">
        <f t="shared" si="108"/>
        <v>0</v>
      </c>
      <c r="CB78" s="388">
        <f t="shared" si="109"/>
        <v>0</v>
      </c>
      <c r="CC78" s="388">
        <f t="shared" si="91"/>
        <v>0</v>
      </c>
      <c r="CD78" s="388">
        <f t="shared" si="92"/>
        <v>-454.00576000000058</v>
      </c>
      <c r="CE78" s="388">
        <f t="shared" si="93"/>
        <v>0</v>
      </c>
      <c r="CF78" s="388">
        <f t="shared" si="94"/>
        <v>0</v>
      </c>
      <c r="CG78" s="388">
        <f t="shared" si="95"/>
        <v>0</v>
      </c>
      <c r="CH78" s="388">
        <f t="shared" si="96"/>
        <v>-89.606399999999979</v>
      </c>
      <c r="CI78" s="388">
        <f t="shared" si="97"/>
        <v>0</v>
      </c>
      <c r="CJ78" s="388">
        <f t="shared" si="110"/>
        <v>-543.61216000000059</v>
      </c>
      <c r="CK78" s="388" t="str">
        <f t="shared" si="111"/>
        <v/>
      </c>
      <c r="CL78" s="388" t="str">
        <f t="shared" si="112"/>
        <v/>
      </c>
      <c r="CM78" s="388" t="str">
        <f t="shared" si="113"/>
        <v/>
      </c>
      <c r="CN78" s="388" t="str">
        <f t="shared" si="114"/>
        <v>0348-00</v>
      </c>
    </row>
    <row r="79" spans="1:92" ht="15.75" thickBot="1">
      <c r="A79" s="377" t="s">
        <v>162</v>
      </c>
      <c r="B79" s="377" t="s">
        <v>163</v>
      </c>
      <c r="C79" s="377" t="s">
        <v>497</v>
      </c>
      <c r="D79" s="377" t="s">
        <v>443</v>
      </c>
      <c r="E79" s="377" t="s">
        <v>419</v>
      </c>
      <c r="F79" s="378" t="s">
        <v>167</v>
      </c>
      <c r="G79" s="377" t="s">
        <v>168</v>
      </c>
      <c r="H79" s="379"/>
      <c r="I79" s="379"/>
      <c r="J79" s="377" t="s">
        <v>169</v>
      </c>
      <c r="K79" s="377" t="s">
        <v>444</v>
      </c>
      <c r="L79" s="377" t="s">
        <v>177</v>
      </c>
      <c r="M79" s="377" t="s">
        <v>189</v>
      </c>
      <c r="N79" s="377" t="s">
        <v>214</v>
      </c>
      <c r="O79" s="380">
        <v>0</v>
      </c>
      <c r="P79" s="386">
        <v>1</v>
      </c>
      <c r="Q79" s="386">
        <v>0</v>
      </c>
      <c r="R79" s="381">
        <v>0</v>
      </c>
      <c r="S79" s="386">
        <v>0</v>
      </c>
      <c r="T79" s="381">
        <v>0</v>
      </c>
      <c r="U79" s="381">
        <v>0</v>
      </c>
      <c r="V79" s="381">
        <v>0</v>
      </c>
      <c r="W79" s="381">
        <v>0</v>
      </c>
      <c r="X79" s="381">
        <v>0</v>
      </c>
      <c r="Y79" s="381">
        <v>0</v>
      </c>
      <c r="Z79" s="381">
        <v>0</v>
      </c>
      <c r="AA79" s="379"/>
      <c r="AB79" s="377" t="s">
        <v>45</v>
      </c>
      <c r="AC79" s="377" t="s">
        <v>45</v>
      </c>
      <c r="AD79" s="379"/>
      <c r="AE79" s="379"/>
      <c r="AF79" s="379"/>
      <c r="AG79" s="379"/>
      <c r="AH79" s="380">
        <v>0</v>
      </c>
      <c r="AI79" s="380">
        <v>0</v>
      </c>
      <c r="AJ79" s="379"/>
      <c r="AK79" s="379"/>
      <c r="AL79" s="377" t="s">
        <v>182</v>
      </c>
      <c r="AM79" s="379"/>
      <c r="AN79" s="379"/>
      <c r="AO79" s="380">
        <v>0</v>
      </c>
      <c r="AP79" s="386">
        <v>0</v>
      </c>
      <c r="AQ79" s="386">
        <v>0</v>
      </c>
      <c r="AR79" s="385"/>
      <c r="AS79" s="388">
        <f t="shared" si="98"/>
        <v>0</v>
      </c>
      <c r="AT79">
        <f t="shared" si="99"/>
        <v>0</v>
      </c>
      <c r="AU79" s="388" t="str">
        <f>IF(AT79=0,"",IF(AND(AT79=1,M79="F",SUMIF(C2:C112,C79,AS2:AS112)&lt;=1),SUMIF(C2:C112,C79,AS2:AS112),IF(AND(AT79=1,M79="F",SUMIF(C2:C112,C79,AS2:AS112)&gt;1),1,"")))</f>
        <v/>
      </c>
      <c r="AV79" s="388" t="str">
        <f>IF(AT79=0,"",IF(AND(AT79=3,M79="F",SUMIF(C2:C112,C79,AS2:AS112)&lt;=1),SUMIF(C2:C112,C79,AS2:AS112),IF(AND(AT79=3,M79="F",SUMIF(C2:C112,C79,AS2:AS112)&gt;1),1,"")))</f>
        <v/>
      </c>
      <c r="AW79" s="388">
        <f>SUMIF(C2:C112,C79,O2:O112)</f>
        <v>0</v>
      </c>
      <c r="AX79" s="388">
        <f>IF(AND(M79="F",AS79&lt;&gt;0),SUMIF(C2:C112,C79,W2:W112),0)</f>
        <v>0</v>
      </c>
      <c r="AY79" s="388" t="str">
        <f t="shared" si="100"/>
        <v/>
      </c>
      <c r="AZ79" s="388" t="str">
        <f t="shared" si="101"/>
        <v/>
      </c>
      <c r="BA79" s="388">
        <f t="shared" si="102"/>
        <v>0</v>
      </c>
      <c r="BB79" s="388">
        <f t="shared" si="71"/>
        <v>0</v>
      </c>
      <c r="BC79" s="388">
        <f t="shared" si="72"/>
        <v>0</v>
      </c>
      <c r="BD79" s="388">
        <f t="shared" si="73"/>
        <v>0</v>
      </c>
      <c r="BE79" s="388">
        <f t="shared" si="74"/>
        <v>0</v>
      </c>
      <c r="BF79" s="388">
        <f t="shared" si="75"/>
        <v>0</v>
      </c>
      <c r="BG79" s="388">
        <f t="shared" si="76"/>
        <v>0</v>
      </c>
      <c r="BH79" s="388">
        <f t="shared" si="77"/>
        <v>0</v>
      </c>
      <c r="BI79" s="388">
        <f t="shared" si="78"/>
        <v>0</v>
      </c>
      <c r="BJ79" s="388">
        <f t="shared" si="79"/>
        <v>0</v>
      </c>
      <c r="BK79" s="388">
        <f t="shared" si="80"/>
        <v>0</v>
      </c>
      <c r="BL79" s="388">
        <f t="shared" si="103"/>
        <v>0</v>
      </c>
      <c r="BM79" s="388">
        <f t="shared" si="104"/>
        <v>0</v>
      </c>
      <c r="BN79" s="388">
        <f t="shared" si="81"/>
        <v>0</v>
      </c>
      <c r="BO79" s="388">
        <f t="shared" si="82"/>
        <v>0</v>
      </c>
      <c r="BP79" s="388">
        <f t="shared" si="83"/>
        <v>0</v>
      </c>
      <c r="BQ79" s="388">
        <f t="shared" si="84"/>
        <v>0</v>
      </c>
      <c r="BR79" s="388">
        <f t="shared" si="85"/>
        <v>0</v>
      </c>
      <c r="BS79" s="388">
        <f t="shared" si="86"/>
        <v>0</v>
      </c>
      <c r="BT79" s="388">
        <f t="shared" si="87"/>
        <v>0</v>
      </c>
      <c r="BU79" s="388">
        <f t="shared" si="88"/>
        <v>0</v>
      </c>
      <c r="BV79" s="388">
        <f t="shared" si="89"/>
        <v>0</v>
      </c>
      <c r="BW79" s="388">
        <f t="shared" si="90"/>
        <v>0</v>
      </c>
      <c r="BX79" s="388">
        <f t="shared" si="105"/>
        <v>0</v>
      </c>
      <c r="BY79" s="388">
        <f t="shared" si="106"/>
        <v>0</v>
      </c>
      <c r="BZ79" s="388">
        <f t="shared" si="107"/>
        <v>0</v>
      </c>
      <c r="CA79" s="388">
        <f t="shared" si="108"/>
        <v>0</v>
      </c>
      <c r="CB79" s="388">
        <f t="shared" si="109"/>
        <v>0</v>
      </c>
      <c r="CC79" s="388">
        <f t="shared" si="91"/>
        <v>0</v>
      </c>
      <c r="CD79" s="388">
        <f t="shared" si="92"/>
        <v>0</v>
      </c>
      <c r="CE79" s="388">
        <f t="shared" si="93"/>
        <v>0</v>
      </c>
      <c r="CF79" s="388">
        <f t="shared" si="94"/>
        <v>0</v>
      </c>
      <c r="CG79" s="388">
        <f t="shared" si="95"/>
        <v>0</v>
      </c>
      <c r="CH79" s="388">
        <f t="shared" si="96"/>
        <v>0</v>
      </c>
      <c r="CI79" s="388">
        <f t="shared" si="97"/>
        <v>0</v>
      </c>
      <c r="CJ79" s="388">
        <f t="shared" si="110"/>
        <v>0</v>
      </c>
      <c r="CK79" s="388" t="str">
        <f t="shared" si="111"/>
        <v/>
      </c>
      <c r="CL79" s="388">
        <f t="shared" si="112"/>
        <v>0</v>
      </c>
      <c r="CM79" s="388">
        <f t="shared" si="113"/>
        <v>0</v>
      </c>
      <c r="CN79" s="388" t="str">
        <f t="shared" si="114"/>
        <v>0348-00</v>
      </c>
    </row>
    <row r="80" spans="1:92" ht="15.75" thickBot="1">
      <c r="A80" s="377" t="s">
        <v>162</v>
      </c>
      <c r="B80" s="377" t="s">
        <v>163</v>
      </c>
      <c r="C80" s="377" t="s">
        <v>498</v>
      </c>
      <c r="D80" s="377" t="s">
        <v>499</v>
      </c>
      <c r="E80" s="377" t="s">
        <v>500</v>
      </c>
      <c r="F80" s="378" t="s">
        <v>167</v>
      </c>
      <c r="G80" s="377" t="s">
        <v>168</v>
      </c>
      <c r="H80" s="379"/>
      <c r="I80" s="379"/>
      <c r="J80" s="377" t="s">
        <v>169</v>
      </c>
      <c r="K80" s="377" t="s">
        <v>501</v>
      </c>
      <c r="L80" s="377" t="s">
        <v>177</v>
      </c>
      <c r="M80" s="377" t="s">
        <v>189</v>
      </c>
      <c r="N80" s="377" t="s">
        <v>214</v>
      </c>
      <c r="O80" s="380">
        <v>0</v>
      </c>
      <c r="P80" s="386">
        <v>1</v>
      </c>
      <c r="Q80" s="386">
        <v>0</v>
      </c>
      <c r="R80" s="381">
        <v>0</v>
      </c>
      <c r="S80" s="386">
        <v>0</v>
      </c>
      <c r="T80" s="381">
        <v>0</v>
      </c>
      <c r="U80" s="381">
        <v>0</v>
      </c>
      <c r="V80" s="381">
        <v>0</v>
      </c>
      <c r="W80" s="381">
        <v>0</v>
      </c>
      <c r="X80" s="381">
        <v>0</v>
      </c>
      <c r="Y80" s="381">
        <v>0</v>
      </c>
      <c r="Z80" s="381">
        <v>0</v>
      </c>
      <c r="AA80" s="379"/>
      <c r="AB80" s="377" t="s">
        <v>45</v>
      </c>
      <c r="AC80" s="377" t="s">
        <v>45</v>
      </c>
      <c r="AD80" s="379"/>
      <c r="AE80" s="379"/>
      <c r="AF80" s="379"/>
      <c r="AG80" s="379"/>
      <c r="AH80" s="380">
        <v>0</v>
      </c>
      <c r="AI80" s="380">
        <v>0</v>
      </c>
      <c r="AJ80" s="379"/>
      <c r="AK80" s="379"/>
      <c r="AL80" s="377" t="s">
        <v>182</v>
      </c>
      <c r="AM80" s="379"/>
      <c r="AN80" s="379"/>
      <c r="AO80" s="380">
        <v>0</v>
      </c>
      <c r="AP80" s="386">
        <v>0</v>
      </c>
      <c r="AQ80" s="386">
        <v>0</v>
      </c>
      <c r="AR80" s="385"/>
      <c r="AS80" s="388">
        <f t="shared" si="98"/>
        <v>0</v>
      </c>
      <c r="AT80">
        <f t="shared" si="99"/>
        <v>0</v>
      </c>
      <c r="AU80" s="388" t="str">
        <f>IF(AT80=0,"",IF(AND(AT80=1,M80="F",SUMIF(C2:C112,C80,AS2:AS112)&lt;=1),SUMIF(C2:C112,C80,AS2:AS112),IF(AND(AT80=1,M80="F",SUMIF(C2:C112,C80,AS2:AS112)&gt;1),1,"")))</f>
        <v/>
      </c>
      <c r="AV80" s="388" t="str">
        <f>IF(AT80=0,"",IF(AND(AT80=3,M80="F",SUMIF(C2:C112,C80,AS2:AS112)&lt;=1),SUMIF(C2:C112,C80,AS2:AS112),IF(AND(AT80=3,M80="F",SUMIF(C2:C112,C80,AS2:AS112)&gt;1),1,"")))</f>
        <v/>
      </c>
      <c r="AW80" s="388">
        <f>SUMIF(C2:C112,C80,O2:O112)</f>
        <v>0</v>
      </c>
      <c r="AX80" s="388">
        <f>IF(AND(M80="F",AS80&lt;&gt;0),SUMIF(C2:C112,C80,W2:W112),0)</f>
        <v>0</v>
      </c>
      <c r="AY80" s="388" t="str">
        <f t="shared" si="100"/>
        <v/>
      </c>
      <c r="AZ80" s="388" t="str">
        <f t="shared" si="101"/>
        <v/>
      </c>
      <c r="BA80" s="388">
        <f t="shared" si="102"/>
        <v>0</v>
      </c>
      <c r="BB80" s="388">
        <f t="shared" si="71"/>
        <v>0</v>
      </c>
      <c r="BC80" s="388">
        <f t="shared" si="72"/>
        <v>0</v>
      </c>
      <c r="BD80" s="388">
        <f t="shared" si="73"/>
        <v>0</v>
      </c>
      <c r="BE80" s="388">
        <f t="shared" si="74"/>
        <v>0</v>
      </c>
      <c r="BF80" s="388">
        <f t="shared" si="75"/>
        <v>0</v>
      </c>
      <c r="BG80" s="388">
        <f t="shared" si="76"/>
        <v>0</v>
      </c>
      <c r="BH80" s="388">
        <f t="shared" si="77"/>
        <v>0</v>
      </c>
      <c r="BI80" s="388">
        <f t="shared" si="78"/>
        <v>0</v>
      </c>
      <c r="BJ80" s="388">
        <f t="shared" si="79"/>
        <v>0</v>
      </c>
      <c r="BK80" s="388">
        <f t="shared" si="80"/>
        <v>0</v>
      </c>
      <c r="BL80" s="388">
        <f t="shared" si="103"/>
        <v>0</v>
      </c>
      <c r="BM80" s="388">
        <f t="shared" si="104"/>
        <v>0</v>
      </c>
      <c r="BN80" s="388">
        <f t="shared" si="81"/>
        <v>0</v>
      </c>
      <c r="BO80" s="388">
        <f t="shared" si="82"/>
        <v>0</v>
      </c>
      <c r="BP80" s="388">
        <f t="shared" si="83"/>
        <v>0</v>
      </c>
      <c r="BQ80" s="388">
        <f t="shared" si="84"/>
        <v>0</v>
      </c>
      <c r="BR80" s="388">
        <f t="shared" si="85"/>
        <v>0</v>
      </c>
      <c r="BS80" s="388">
        <f t="shared" si="86"/>
        <v>0</v>
      </c>
      <c r="BT80" s="388">
        <f t="shared" si="87"/>
        <v>0</v>
      </c>
      <c r="BU80" s="388">
        <f t="shared" si="88"/>
        <v>0</v>
      </c>
      <c r="BV80" s="388">
        <f t="shared" si="89"/>
        <v>0</v>
      </c>
      <c r="BW80" s="388">
        <f t="shared" si="90"/>
        <v>0</v>
      </c>
      <c r="BX80" s="388">
        <f t="shared" si="105"/>
        <v>0</v>
      </c>
      <c r="BY80" s="388">
        <f t="shared" si="106"/>
        <v>0</v>
      </c>
      <c r="BZ80" s="388">
        <f t="shared" si="107"/>
        <v>0</v>
      </c>
      <c r="CA80" s="388">
        <f t="shared" si="108"/>
        <v>0</v>
      </c>
      <c r="CB80" s="388">
        <f t="shared" si="109"/>
        <v>0</v>
      </c>
      <c r="CC80" s="388">
        <f t="shared" si="91"/>
        <v>0</v>
      </c>
      <c r="CD80" s="388">
        <f t="shared" si="92"/>
        <v>0</v>
      </c>
      <c r="CE80" s="388">
        <f t="shared" si="93"/>
        <v>0</v>
      </c>
      <c r="CF80" s="388">
        <f t="shared" si="94"/>
        <v>0</v>
      </c>
      <c r="CG80" s="388">
        <f t="shared" si="95"/>
        <v>0</v>
      </c>
      <c r="CH80" s="388">
        <f t="shared" si="96"/>
        <v>0</v>
      </c>
      <c r="CI80" s="388">
        <f t="shared" si="97"/>
        <v>0</v>
      </c>
      <c r="CJ80" s="388">
        <f t="shared" si="110"/>
        <v>0</v>
      </c>
      <c r="CK80" s="388" t="str">
        <f t="shared" si="111"/>
        <v/>
      </c>
      <c r="CL80" s="388">
        <f t="shared" si="112"/>
        <v>0</v>
      </c>
      <c r="CM80" s="388">
        <f t="shared" si="113"/>
        <v>0</v>
      </c>
      <c r="CN80" s="388" t="str">
        <f t="shared" si="114"/>
        <v>0349-00</v>
      </c>
    </row>
    <row r="81" spans="1:92" ht="15.75" thickBot="1">
      <c r="A81" s="377" t="s">
        <v>162</v>
      </c>
      <c r="B81" s="377" t="s">
        <v>163</v>
      </c>
      <c r="C81" s="377" t="s">
        <v>502</v>
      </c>
      <c r="D81" s="377" t="s">
        <v>454</v>
      </c>
      <c r="E81" s="377" t="s">
        <v>500</v>
      </c>
      <c r="F81" s="378" t="s">
        <v>167</v>
      </c>
      <c r="G81" s="377" t="s">
        <v>168</v>
      </c>
      <c r="H81" s="379"/>
      <c r="I81" s="379"/>
      <c r="J81" s="377" t="s">
        <v>169</v>
      </c>
      <c r="K81" s="377" t="s">
        <v>455</v>
      </c>
      <c r="L81" s="377" t="s">
        <v>385</v>
      </c>
      <c r="M81" s="377" t="s">
        <v>189</v>
      </c>
      <c r="N81" s="377" t="s">
        <v>214</v>
      </c>
      <c r="O81" s="380">
        <v>0</v>
      </c>
      <c r="P81" s="386">
        <v>1</v>
      </c>
      <c r="Q81" s="386">
        <v>0</v>
      </c>
      <c r="R81" s="381">
        <v>0</v>
      </c>
      <c r="S81" s="386">
        <v>0</v>
      </c>
      <c r="T81" s="381">
        <v>0</v>
      </c>
      <c r="U81" s="381">
        <v>0</v>
      </c>
      <c r="V81" s="381">
        <v>0</v>
      </c>
      <c r="W81" s="381">
        <v>0</v>
      </c>
      <c r="X81" s="381">
        <v>0</v>
      </c>
      <c r="Y81" s="381">
        <v>0</v>
      </c>
      <c r="Z81" s="381">
        <v>0</v>
      </c>
      <c r="AA81" s="379"/>
      <c r="AB81" s="377" t="s">
        <v>45</v>
      </c>
      <c r="AC81" s="377" t="s">
        <v>45</v>
      </c>
      <c r="AD81" s="379"/>
      <c r="AE81" s="379"/>
      <c r="AF81" s="379"/>
      <c r="AG81" s="379"/>
      <c r="AH81" s="380">
        <v>0</v>
      </c>
      <c r="AI81" s="380">
        <v>0</v>
      </c>
      <c r="AJ81" s="379"/>
      <c r="AK81" s="379"/>
      <c r="AL81" s="377" t="s">
        <v>182</v>
      </c>
      <c r="AM81" s="379"/>
      <c r="AN81" s="379"/>
      <c r="AO81" s="380">
        <v>0</v>
      </c>
      <c r="AP81" s="386">
        <v>0</v>
      </c>
      <c r="AQ81" s="386">
        <v>0</v>
      </c>
      <c r="AR81" s="385"/>
      <c r="AS81" s="388">
        <f t="shared" si="98"/>
        <v>0</v>
      </c>
      <c r="AT81">
        <f t="shared" si="99"/>
        <v>0</v>
      </c>
      <c r="AU81" s="388" t="str">
        <f>IF(AT81=0,"",IF(AND(AT81=1,M81="F",SUMIF(C2:C112,C81,AS2:AS112)&lt;=1),SUMIF(C2:C112,C81,AS2:AS112),IF(AND(AT81=1,M81="F",SUMIF(C2:C112,C81,AS2:AS112)&gt;1),1,"")))</f>
        <v/>
      </c>
      <c r="AV81" s="388" t="str">
        <f>IF(AT81=0,"",IF(AND(AT81=3,M81="F",SUMIF(C2:C112,C81,AS2:AS112)&lt;=1),SUMIF(C2:C112,C81,AS2:AS112),IF(AND(AT81=3,M81="F",SUMIF(C2:C112,C81,AS2:AS112)&gt;1),1,"")))</f>
        <v/>
      </c>
      <c r="AW81" s="388">
        <f>SUMIF(C2:C112,C81,O2:O112)</f>
        <v>0</v>
      </c>
      <c r="AX81" s="388">
        <f>IF(AND(M81="F",AS81&lt;&gt;0),SUMIF(C2:C112,C81,W2:W112),0)</f>
        <v>0</v>
      </c>
      <c r="AY81" s="388" t="str">
        <f t="shared" si="100"/>
        <v/>
      </c>
      <c r="AZ81" s="388" t="str">
        <f t="shared" si="101"/>
        <v/>
      </c>
      <c r="BA81" s="388">
        <f t="shared" si="102"/>
        <v>0</v>
      </c>
      <c r="BB81" s="388">
        <f t="shared" si="71"/>
        <v>0</v>
      </c>
      <c r="BC81" s="388">
        <f t="shared" si="72"/>
        <v>0</v>
      </c>
      <c r="BD81" s="388">
        <f t="shared" si="73"/>
        <v>0</v>
      </c>
      <c r="BE81" s="388">
        <f t="shared" si="74"/>
        <v>0</v>
      </c>
      <c r="BF81" s="388">
        <f t="shared" si="75"/>
        <v>0</v>
      </c>
      <c r="BG81" s="388">
        <f t="shared" si="76"/>
        <v>0</v>
      </c>
      <c r="BH81" s="388">
        <f t="shared" si="77"/>
        <v>0</v>
      </c>
      <c r="BI81" s="388">
        <f t="shared" si="78"/>
        <v>0</v>
      </c>
      <c r="BJ81" s="388">
        <f t="shared" si="79"/>
        <v>0</v>
      </c>
      <c r="BK81" s="388">
        <f t="shared" si="80"/>
        <v>0</v>
      </c>
      <c r="BL81" s="388">
        <f t="shared" si="103"/>
        <v>0</v>
      </c>
      <c r="BM81" s="388">
        <f t="shared" si="104"/>
        <v>0</v>
      </c>
      <c r="BN81" s="388">
        <f t="shared" si="81"/>
        <v>0</v>
      </c>
      <c r="BO81" s="388">
        <f t="shared" si="82"/>
        <v>0</v>
      </c>
      <c r="BP81" s="388">
        <f t="shared" si="83"/>
        <v>0</v>
      </c>
      <c r="BQ81" s="388">
        <f t="shared" si="84"/>
        <v>0</v>
      </c>
      <c r="BR81" s="388">
        <f t="shared" si="85"/>
        <v>0</v>
      </c>
      <c r="BS81" s="388">
        <f t="shared" si="86"/>
        <v>0</v>
      </c>
      <c r="BT81" s="388">
        <f t="shared" si="87"/>
        <v>0</v>
      </c>
      <c r="BU81" s="388">
        <f t="shared" si="88"/>
        <v>0</v>
      </c>
      <c r="BV81" s="388">
        <f t="shared" si="89"/>
        <v>0</v>
      </c>
      <c r="BW81" s="388">
        <f t="shared" si="90"/>
        <v>0</v>
      </c>
      <c r="BX81" s="388">
        <f t="shared" si="105"/>
        <v>0</v>
      </c>
      <c r="BY81" s="388">
        <f t="shared" si="106"/>
        <v>0</v>
      </c>
      <c r="BZ81" s="388">
        <f t="shared" si="107"/>
        <v>0</v>
      </c>
      <c r="CA81" s="388">
        <f t="shared" si="108"/>
        <v>0</v>
      </c>
      <c r="CB81" s="388">
        <f t="shared" si="109"/>
        <v>0</v>
      </c>
      <c r="CC81" s="388">
        <f t="shared" si="91"/>
        <v>0</v>
      </c>
      <c r="CD81" s="388">
        <f t="shared" si="92"/>
        <v>0</v>
      </c>
      <c r="CE81" s="388">
        <f t="shared" si="93"/>
        <v>0</v>
      </c>
      <c r="CF81" s="388">
        <f t="shared" si="94"/>
        <v>0</v>
      </c>
      <c r="CG81" s="388">
        <f t="shared" si="95"/>
        <v>0</v>
      </c>
      <c r="CH81" s="388">
        <f t="shared" si="96"/>
        <v>0</v>
      </c>
      <c r="CI81" s="388">
        <f t="shared" si="97"/>
        <v>0</v>
      </c>
      <c r="CJ81" s="388">
        <f t="shared" si="110"/>
        <v>0</v>
      </c>
      <c r="CK81" s="388" t="str">
        <f t="shared" si="111"/>
        <v/>
      </c>
      <c r="CL81" s="388">
        <f t="shared" si="112"/>
        <v>0</v>
      </c>
      <c r="CM81" s="388">
        <f t="shared" si="113"/>
        <v>0</v>
      </c>
      <c r="CN81" s="388" t="str">
        <f t="shared" si="114"/>
        <v>0349-00</v>
      </c>
    </row>
    <row r="82" spans="1:92" ht="15.75" thickBot="1">
      <c r="A82" s="377" t="s">
        <v>162</v>
      </c>
      <c r="B82" s="377" t="s">
        <v>163</v>
      </c>
      <c r="C82" s="377" t="s">
        <v>503</v>
      </c>
      <c r="D82" s="377" t="s">
        <v>504</v>
      </c>
      <c r="E82" s="377" t="s">
        <v>500</v>
      </c>
      <c r="F82" s="378" t="s">
        <v>167</v>
      </c>
      <c r="G82" s="377" t="s">
        <v>168</v>
      </c>
      <c r="H82" s="379"/>
      <c r="I82" s="379"/>
      <c r="J82" s="377" t="s">
        <v>169</v>
      </c>
      <c r="K82" s="377" t="s">
        <v>505</v>
      </c>
      <c r="L82" s="377" t="s">
        <v>179</v>
      </c>
      <c r="M82" s="377" t="s">
        <v>189</v>
      </c>
      <c r="N82" s="377" t="s">
        <v>214</v>
      </c>
      <c r="O82" s="380">
        <v>0</v>
      </c>
      <c r="P82" s="386">
        <v>1</v>
      </c>
      <c r="Q82" s="386">
        <v>0</v>
      </c>
      <c r="R82" s="381">
        <v>0</v>
      </c>
      <c r="S82" s="386">
        <v>0</v>
      </c>
      <c r="T82" s="381">
        <v>0</v>
      </c>
      <c r="U82" s="381">
        <v>0</v>
      </c>
      <c r="V82" s="381">
        <v>0</v>
      </c>
      <c r="W82" s="381">
        <v>0</v>
      </c>
      <c r="X82" s="381">
        <v>0</v>
      </c>
      <c r="Y82" s="381">
        <v>0</v>
      </c>
      <c r="Z82" s="381">
        <v>0</v>
      </c>
      <c r="AA82" s="379"/>
      <c r="AB82" s="377" t="s">
        <v>45</v>
      </c>
      <c r="AC82" s="377" t="s">
        <v>45</v>
      </c>
      <c r="AD82" s="379"/>
      <c r="AE82" s="379"/>
      <c r="AF82" s="379"/>
      <c r="AG82" s="379"/>
      <c r="AH82" s="380">
        <v>0</v>
      </c>
      <c r="AI82" s="380">
        <v>0</v>
      </c>
      <c r="AJ82" s="379"/>
      <c r="AK82" s="379"/>
      <c r="AL82" s="377" t="s">
        <v>182</v>
      </c>
      <c r="AM82" s="379"/>
      <c r="AN82" s="379"/>
      <c r="AO82" s="380">
        <v>0</v>
      </c>
      <c r="AP82" s="386">
        <v>0</v>
      </c>
      <c r="AQ82" s="386">
        <v>0</v>
      </c>
      <c r="AR82" s="385"/>
      <c r="AS82" s="388">
        <f t="shared" si="98"/>
        <v>0</v>
      </c>
      <c r="AT82">
        <f t="shared" si="99"/>
        <v>0</v>
      </c>
      <c r="AU82" s="388" t="str">
        <f>IF(AT82=0,"",IF(AND(AT82=1,M82="F",SUMIF(C2:C112,C82,AS2:AS112)&lt;=1),SUMIF(C2:C112,C82,AS2:AS112),IF(AND(AT82=1,M82="F",SUMIF(C2:C112,C82,AS2:AS112)&gt;1),1,"")))</f>
        <v/>
      </c>
      <c r="AV82" s="388" t="str">
        <f>IF(AT82=0,"",IF(AND(AT82=3,M82="F",SUMIF(C2:C112,C82,AS2:AS112)&lt;=1),SUMIF(C2:C112,C82,AS2:AS112),IF(AND(AT82=3,M82="F",SUMIF(C2:C112,C82,AS2:AS112)&gt;1),1,"")))</f>
        <v/>
      </c>
      <c r="AW82" s="388">
        <f>SUMIF(C2:C112,C82,O2:O112)</f>
        <v>0</v>
      </c>
      <c r="AX82" s="388">
        <f>IF(AND(M82="F",AS82&lt;&gt;0),SUMIF(C2:C112,C82,W2:W112),0)</f>
        <v>0</v>
      </c>
      <c r="AY82" s="388" t="str">
        <f t="shared" si="100"/>
        <v/>
      </c>
      <c r="AZ82" s="388" t="str">
        <f t="shared" si="101"/>
        <v/>
      </c>
      <c r="BA82" s="388">
        <f t="shared" si="102"/>
        <v>0</v>
      </c>
      <c r="BB82" s="388">
        <f t="shared" si="71"/>
        <v>0</v>
      </c>
      <c r="BC82" s="388">
        <f t="shared" si="72"/>
        <v>0</v>
      </c>
      <c r="BD82" s="388">
        <f t="shared" si="73"/>
        <v>0</v>
      </c>
      <c r="BE82" s="388">
        <f t="shared" si="74"/>
        <v>0</v>
      </c>
      <c r="BF82" s="388">
        <f t="shared" si="75"/>
        <v>0</v>
      </c>
      <c r="BG82" s="388">
        <f t="shared" si="76"/>
        <v>0</v>
      </c>
      <c r="BH82" s="388">
        <f t="shared" si="77"/>
        <v>0</v>
      </c>
      <c r="BI82" s="388">
        <f t="shared" si="78"/>
        <v>0</v>
      </c>
      <c r="BJ82" s="388">
        <f t="shared" si="79"/>
        <v>0</v>
      </c>
      <c r="BK82" s="388">
        <f t="shared" si="80"/>
        <v>0</v>
      </c>
      <c r="BL82" s="388">
        <f t="shared" si="103"/>
        <v>0</v>
      </c>
      <c r="BM82" s="388">
        <f t="shared" si="104"/>
        <v>0</v>
      </c>
      <c r="BN82" s="388">
        <f t="shared" si="81"/>
        <v>0</v>
      </c>
      <c r="BO82" s="388">
        <f t="shared" si="82"/>
        <v>0</v>
      </c>
      <c r="BP82" s="388">
        <f t="shared" si="83"/>
        <v>0</v>
      </c>
      <c r="BQ82" s="388">
        <f t="shared" si="84"/>
        <v>0</v>
      </c>
      <c r="BR82" s="388">
        <f t="shared" si="85"/>
        <v>0</v>
      </c>
      <c r="BS82" s="388">
        <f t="shared" si="86"/>
        <v>0</v>
      </c>
      <c r="BT82" s="388">
        <f t="shared" si="87"/>
        <v>0</v>
      </c>
      <c r="BU82" s="388">
        <f t="shared" si="88"/>
        <v>0</v>
      </c>
      <c r="BV82" s="388">
        <f t="shared" si="89"/>
        <v>0</v>
      </c>
      <c r="BW82" s="388">
        <f t="shared" si="90"/>
        <v>0</v>
      </c>
      <c r="BX82" s="388">
        <f t="shared" si="105"/>
        <v>0</v>
      </c>
      <c r="BY82" s="388">
        <f t="shared" si="106"/>
        <v>0</v>
      </c>
      <c r="BZ82" s="388">
        <f t="shared" si="107"/>
        <v>0</v>
      </c>
      <c r="CA82" s="388">
        <f t="shared" si="108"/>
        <v>0</v>
      </c>
      <c r="CB82" s="388">
        <f t="shared" si="109"/>
        <v>0</v>
      </c>
      <c r="CC82" s="388">
        <f t="shared" si="91"/>
        <v>0</v>
      </c>
      <c r="CD82" s="388">
        <f t="shared" si="92"/>
        <v>0</v>
      </c>
      <c r="CE82" s="388">
        <f t="shared" si="93"/>
        <v>0</v>
      </c>
      <c r="CF82" s="388">
        <f t="shared" si="94"/>
        <v>0</v>
      </c>
      <c r="CG82" s="388">
        <f t="shared" si="95"/>
        <v>0</v>
      </c>
      <c r="CH82" s="388">
        <f t="shared" si="96"/>
        <v>0</v>
      </c>
      <c r="CI82" s="388">
        <f t="shared" si="97"/>
        <v>0</v>
      </c>
      <c r="CJ82" s="388">
        <f t="shared" si="110"/>
        <v>0</v>
      </c>
      <c r="CK82" s="388" t="str">
        <f t="shared" si="111"/>
        <v/>
      </c>
      <c r="CL82" s="388">
        <f t="shared" si="112"/>
        <v>0</v>
      </c>
      <c r="CM82" s="388">
        <f t="shared" si="113"/>
        <v>0</v>
      </c>
      <c r="CN82" s="388" t="str">
        <f t="shared" si="114"/>
        <v>0349-00</v>
      </c>
    </row>
    <row r="83" spans="1:92" ht="15.75" thickBot="1">
      <c r="A83" s="377" t="s">
        <v>162</v>
      </c>
      <c r="B83" s="377" t="s">
        <v>163</v>
      </c>
      <c r="C83" s="377" t="s">
        <v>430</v>
      </c>
      <c r="D83" s="377" t="s">
        <v>377</v>
      </c>
      <c r="E83" s="377" t="s">
        <v>500</v>
      </c>
      <c r="F83" s="378" t="s">
        <v>167</v>
      </c>
      <c r="G83" s="377" t="s">
        <v>168</v>
      </c>
      <c r="H83" s="379"/>
      <c r="I83" s="379"/>
      <c r="J83" s="377" t="s">
        <v>169</v>
      </c>
      <c r="K83" s="377" t="s">
        <v>378</v>
      </c>
      <c r="L83" s="377" t="s">
        <v>202</v>
      </c>
      <c r="M83" s="377" t="s">
        <v>172</v>
      </c>
      <c r="N83" s="377" t="s">
        <v>214</v>
      </c>
      <c r="O83" s="380">
        <v>0</v>
      </c>
      <c r="P83" s="386">
        <v>1</v>
      </c>
      <c r="Q83" s="386">
        <v>0</v>
      </c>
      <c r="R83" s="381">
        <v>0</v>
      </c>
      <c r="S83" s="386">
        <v>0</v>
      </c>
      <c r="T83" s="381">
        <v>25276.21</v>
      </c>
      <c r="U83" s="381">
        <v>215.16</v>
      </c>
      <c r="V83" s="381">
        <v>2141.8200000000002</v>
      </c>
      <c r="W83" s="381">
        <v>30152.47</v>
      </c>
      <c r="X83" s="381">
        <v>2513</v>
      </c>
      <c r="Y83" s="381">
        <v>30152.47</v>
      </c>
      <c r="Z83" s="381">
        <v>2513</v>
      </c>
      <c r="AA83" s="379"/>
      <c r="AB83" s="377" t="s">
        <v>45</v>
      </c>
      <c r="AC83" s="377" t="s">
        <v>45</v>
      </c>
      <c r="AD83" s="379"/>
      <c r="AE83" s="379"/>
      <c r="AF83" s="379"/>
      <c r="AG83" s="379"/>
      <c r="AH83" s="380">
        <v>0</v>
      </c>
      <c r="AI83" s="380">
        <v>0</v>
      </c>
      <c r="AJ83" s="379"/>
      <c r="AK83" s="379"/>
      <c r="AL83" s="377" t="s">
        <v>182</v>
      </c>
      <c r="AM83" s="379"/>
      <c r="AN83" s="379"/>
      <c r="AO83" s="380">
        <v>0</v>
      </c>
      <c r="AP83" s="386">
        <v>0</v>
      </c>
      <c r="AQ83" s="386">
        <v>0</v>
      </c>
      <c r="AR83" s="385"/>
      <c r="AS83" s="388">
        <f t="shared" si="98"/>
        <v>0</v>
      </c>
      <c r="AT83">
        <f t="shared" si="99"/>
        <v>0</v>
      </c>
      <c r="AU83" s="388" t="str">
        <f>IF(AT83=0,"",IF(AND(AT83=1,M83="F",SUMIF(C2:C112,C83,AS2:AS112)&lt;=1),SUMIF(C2:C112,C83,AS2:AS112),IF(AND(AT83=1,M83="F",SUMIF(C2:C112,C83,AS2:AS112)&gt;1),1,"")))</f>
        <v/>
      </c>
      <c r="AV83" s="388" t="str">
        <f>IF(AT83=0,"",IF(AND(AT83=3,M83="F",SUMIF(C2:C112,C83,AS2:AS112)&lt;=1),SUMIF(C2:C112,C83,AS2:AS112),IF(AND(AT83=3,M83="F",SUMIF(C2:C112,C83,AS2:AS112)&gt;1),1,"")))</f>
        <v/>
      </c>
      <c r="AW83" s="388">
        <f>SUMIF(C2:C112,C83,O2:O112)</f>
        <v>0</v>
      </c>
      <c r="AX83" s="388">
        <f>IF(AND(M83="F",AS83&lt;&gt;0),SUMIF(C2:C112,C83,W2:W112),0)</f>
        <v>0</v>
      </c>
      <c r="AY83" s="388" t="str">
        <f t="shared" si="100"/>
        <v/>
      </c>
      <c r="AZ83" s="388" t="str">
        <f t="shared" si="101"/>
        <v/>
      </c>
      <c r="BA83" s="388">
        <f t="shared" si="102"/>
        <v>0</v>
      </c>
      <c r="BB83" s="388">
        <f t="shared" si="71"/>
        <v>0</v>
      </c>
      <c r="BC83" s="388">
        <f t="shared" si="72"/>
        <v>0</v>
      </c>
      <c r="BD83" s="388">
        <f t="shared" si="73"/>
        <v>0</v>
      </c>
      <c r="BE83" s="388">
        <f t="shared" si="74"/>
        <v>0</v>
      </c>
      <c r="BF83" s="388">
        <f t="shared" si="75"/>
        <v>0</v>
      </c>
      <c r="BG83" s="388">
        <f t="shared" si="76"/>
        <v>0</v>
      </c>
      <c r="BH83" s="388">
        <f t="shared" si="77"/>
        <v>0</v>
      </c>
      <c r="BI83" s="388">
        <f t="shared" si="78"/>
        <v>0</v>
      </c>
      <c r="BJ83" s="388">
        <f t="shared" si="79"/>
        <v>0</v>
      </c>
      <c r="BK83" s="388">
        <f t="shared" si="80"/>
        <v>0</v>
      </c>
      <c r="BL83" s="388">
        <f t="shared" si="103"/>
        <v>0</v>
      </c>
      <c r="BM83" s="388">
        <f t="shared" si="104"/>
        <v>0</v>
      </c>
      <c r="BN83" s="388">
        <f t="shared" si="81"/>
        <v>0</v>
      </c>
      <c r="BO83" s="388">
        <f t="shared" si="82"/>
        <v>0</v>
      </c>
      <c r="BP83" s="388">
        <f t="shared" si="83"/>
        <v>0</v>
      </c>
      <c r="BQ83" s="388">
        <f t="shared" si="84"/>
        <v>0</v>
      </c>
      <c r="BR83" s="388">
        <f t="shared" si="85"/>
        <v>0</v>
      </c>
      <c r="BS83" s="388">
        <f t="shared" si="86"/>
        <v>0</v>
      </c>
      <c r="BT83" s="388">
        <f t="shared" si="87"/>
        <v>0</v>
      </c>
      <c r="BU83" s="388">
        <f t="shared" si="88"/>
        <v>0</v>
      </c>
      <c r="BV83" s="388">
        <f t="shared" si="89"/>
        <v>0</v>
      </c>
      <c r="BW83" s="388">
        <f t="shared" si="90"/>
        <v>0</v>
      </c>
      <c r="BX83" s="388">
        <f t="shared" si="105"/>
        <v>0</v>
      </c>
      <c r="BY83" s="388">
        <f t="shared" si="106"/>
        <v>0</v>
      </c>
      <c r="BZ83" s="388">
        <f t="shared" si="107"/>
        <v>0</v>
      </c>
      <c r="CA83" s="388">
        <f t="shared" si="108"/>
        <v>0</v>
      </c>
      <c r="CB83" s="388">
        <f t="shared" si="109"/>
        <v>0</v>
      </c>
      <c r="CC83" s="388">
        <f t="shared" si="91"/>
        <v>0</v>
      </c>
      <c r="CD83" s="388">
        <f t="shared" si="92"/>
        <v>0</v>
      </c>
      <c r="CE83" s="388">
        <f t="shared" si="93"/>
        <v>0</v>
      </c>
      <c r="CF83" s="388">
        <f t="shared" si="94"/>
        <v>0</v>
      </c>
      <c r="CG83" s="388">
        <f t="shared" si="95"/>
        <v>0</v>
      </c>
      <c r="CH83" s="388">
        <f t="shared" si="96"/>
        <v>0</v>
      </c>
      <c r="CI83" s="388">
        <f t="shared" si="97"/>
        <v>0</v>
      </c>
      <c r="CJ83" s="388">
        <f t="shared" si="110"/>
        <v>0</v>
      </c>
      <c r="CK83" s="388" t="str">
        <f t="shared" si="111"/>
        <v/>
      </c>
      <c r="CL83" s="388">
        <f t="shared" si="112"/>
        <v>25491.37</v>
      </c>
      <c r="CM83" s="388">
        <f t="shared" si="113"/>
        <v>2141.8200000000002</v>
      </c>
      <c r="CN83" s="388" t="str">
        <f t="shared" si="114"/>
        <v>0349-00</v>
      </c>
    </row>
    <row r="84" spans="1:92" ht="15.75" thickBot="1">
      <c r="A84" s="377" t="s">
        <v>162</v>
      </c>
      <c r="B84" s="377" t="s">
        <v>163</v>
      </c>
      <c r="C84" s="377" t="s">
        <v>506</v>
      </c>
      <c r="D84" s="377" t="s">
        <v>243</v>
      </c>
      <c r="E84" s="377" t="s">
        <v>500</v>
      </c>
      <c r="F84" s="378" t="s">
        <v>167</v>
      </c>
      <c r="G84" s="377" t="s">
        <v>168</v>
      </c>
      <c r="H84" s="379"/>
      <c r="I84" s="379"/>
      <c r="J84" s="377" t="s">
        <v>169</v>
      </c>
      <c r="K84" s="377" t="s">
        <v>244</v>
      </c>
      <c r="L84" s="377" t="s">
        <v>177</v>
      </c>
      <c r="M84" s="377" t="s">
        <v>189</v>
      </c>
      <c r="N84" s="377" t="s">
        <v>214</v>
      </c>
      <c r="O84" s="380">
        <v>0</v>
      </c>
      <c r="P84" s="386">
        <v>1</v>
      </c>
      <c r="Q84" s="386">
        <v>0</v>
      </c>
      <c r="R84" s="381">
        <v>0</v>
      </c>
      <c r="S84" s="386">
        <v>0</v>
      </c>
      <c r="T84" s="381">
        <v>0</v>
      </c>
      <c r="U84" s="381">
        <v>0</v>
      </c>
      <c r="V84" s="381">
        <v>0</v>
      </c>
      <c r="W84" s="381">
        <v>0</v>
      </c>
      <c r="X84" s="381">
        <v>0</v>
      </c>
      <c r="Y84" s="381">
        <v>0</v>
      </c>
      <c r="Z84" s="381">
        <v>0</v>
      </c>
      <c r="AA84" s="379"/>
      <c r="AB84" s="377" t="s">
        <v>45</v>
      </c>
      <c r="AC84" s="377" t="s">
        <v>45</v>
      </c>
      <c r="AD84" s="379"/>
      <c r="AE84" s="379"/>
      <c r="AF84" s="379"/>
      <c r="AG84" s="379"/>
      <c r="AH84" s="380">
        <v>0</v>
      </c>
      <c r="AI84" s="380">
        <v>0</v>
      </c>
      <c r="AJ84" s="379"/>
      <c r="AK84" s="379"/>
      <c r="AL84" s="377" t="s">
        <v>182</v>
      </c>
      <c r="AM84" s="379"/>
      <c r="AN84" s="379"/>
      <c r="AO84" s="380">
        <v>0</v>
      </c>
      <c r="AP84" s="386">
        <v>0</v>
      </c>
      <c r="AQ84" s="386">
        <v>0</v>
      </c>
      <c r="AR84" s="385"/>
      <c r="AS84" s="388">
        <f t="shared" si="98"/>
        <v>0</v>
      </c>
      <c r="AT84">
        <f t="shared" si="99"/>
        <v>0</v>
      </c>
      <c r="AU84" s="388" t="str">
        <f>IF(AT84=0,"",IF(AND(AT84=1,M84="F",SUMIF(C2:C112,C84,AS2:AS112)&lt;=1),SUMIF(C2:C112,C84,AS2:AS112),IF(AND(AT84=1,M84="F",SUMIF(C2:C112,C84,AS2:AS112)&gt;1),1,"")))</f>
        <v/>
      </c>
      <c r="AV84" s="388" t="str">
        <f>IF(AT84=0,"",IF(AND(AT84=3,M84="F",SUMIF(C2:C112,C84,AS2:AS112)&lt;=1),SUMIF(C2:C112,C84,AS2:AS112),IF(AND(AT84=3,M84="F",SUMIF(C2:C112,C84,AS2:AS112)&gt;1),1,"")))</f>
        <v/>
      </c>
      <c r="AW84" s="388">
        <f>SUMIF(C2:C112,C84,O2:O112)</f>
        <v>0</v>
      </c>
      <c r="AX84" s="388">
        <f>IF(AND(M84="F",AS84&lt;&gt;0),SUMIF(C2:C112,C84,W2:W112),0)</f>
        <v>0</v>
      </c>
      <c r="AY84" s="388" t="str">
        <f t="shared" si="100"/>
        <v/>
      </c>
      <c r="AZ84" s="388" t="str">
        <f t="shared" si="101"/>
        <v/>
      </c>
      <c r="BA84" s="388">
        <f t="shared" si="102"/>
        <v>0</v>
      </c>
      <c r="BB84" s="388">
        <f t="shared" si="71"/>
        <v>0</v>
      </c>
      <c r="BC84" s="388">
        <f t="shared" si="72"/>
        <v>0</v>
      </c>
      <c r="BD84" s="388">
        <f t="shared" si="73"/>
        <v>0</v>
      </c>
      <c r="BE84" s="388">
        <f t="shared" si="74"/>
        <v>0</v>
      </c>
      <c r="BF84" s="388">
        <f t="shared" si="75"/>
        <v>0</v>
      </c>
      <c r="BG84" s="388">
        <f t="shared" si="76"/>
        <v>0</v>
      </c>
      <c r="BH84" s="388">
        <f t="shared" si="77"/>
        <v>0</v>
      </c>
      <c r="BI84" s="388">
        <f t="shared" si="78"/>
        <v>0</v>
      </c>
      <c r="BJ84" s="388">
        <f t="shared" si="79"/>
        <v>0</v>
      </c>
      <c r="BK84" s="388">
        <f t="shared" si="80"/>
        <v>0</v>
      </c>
      <c r="BL84" s="388">
        <f t="shared" si="103"/>
        <v>0</v>
      </c>
      <c r="BM84" s="388">
        <f t="shared" si="104"/>
        <v>0</v>
      </c>
      <c r="BN84" s="388">
        <f t="shared" si="81"/>
        <v>0</v>
      </c>
      <c r="BO84" s="388">
        <f t="shared" si="82"/>
        <v>0</v>
      </c>
      <c r="BP84" s="388">
        <f t="shared" si="83"/>
        <v>0</v>
      </c>
      <c r="BQ84" s="388">
        <f t="shared" si="84"/>
        <v>0</v>
      </c>
      <c r="BR84" s="388">
        <f t="shared" si="85"/>
        <v>0</v>
      </c>
      <c r="BS84" s="388">
        <f t="shared" si="86"/>
        <v>0</v>
      </c>
      <c r="BT84" s="388">
        <f t="shared" si="87"/>
        <v>0</v>
      </c>
      <c r="BU84" s="388">
        <f t="shared" si="88"/>
        <v>0</v>
      </c>
      <c r="BV84" s="388">
        <f t="shared" si="89"/>
        <v>0</v>
      </c>
      <c r="BW84" s="388">
        <f t="shared" si="90"/>
        <v>0</v>
      </c>
      <c r="BX84" s="388">
        <f t="shared" si="105"/>
        <v>0</v>
      </c>
      <c r="BY84" s="388">
        <f t="shared" si="106"/>
        <v>0</v>
      </c>
      <c r="BZ84" s="388">
        <f t="shared" si="107"/>
        <v>0</v>
      </c>
      <c r="CA84" s="388">
        <f t="shared" si="108"/>
        <v>0</v>
      </c>
      <c r="CB84" s="388">
        <f t="shared" si="109"/>
        <v>0</v>
      </c>
      <c r="CC84" s="388">
        <f t="shared" si="91"/>
        <v>0</v>
      </c>
      <c r="CD84" s="388">
        <f t="shared" si="92"/>
        <v>0</v>
      </c>
      <c r="CE84" s="388">
        <f t="shared" si="93"/>
        <v>0</v>
      </c>
      <c r="CF84" s="388">
        <f t="shared" si="94"/>
        <v>0</v>
      </c>
      <c r="CG84" s="388">
        <f t="shared" si="95"/>
        <v>0</v>
      </c>
      <c r="CH84" s="388">
        <f t="shared" si="96"/>
        <v>0</v>
      </c>
      <c r="CI84" s="388">
        <f t="shared" si="97"/>
        <v>0</v>
      </c>
      <c r="CJ84" s="388">
        <f t="shared" si="110"/>
        <v>0</v>
      </c>
      <c r="CK84" s="388" t="str">
        <f t="shared" si="111"/>
        <v/>
      </c>
      <c r="CL84" s="388">
        <f t="shared" si="112"/>
        <v>0</v>
      </c>
      <c r="CM84" s="388">
        <f t="shared" si="113"/>
        <v>0</v>
      </c>
      <c r="CN84" s="388" t="str">
        <f t="shared" si="114"/>
        <v>0349-00</v>
      </c>
    </row>
    <row r="85" spans="1:92" ht="15.75" thickBot="1">
      <c r="A85" s="377" t="s">
        <v>162</v>
      </c>
      <c r="B85" s="377" t="s">
        <v>163</v>
      </c>
      <c r="C85" s="377" t="s">
        <v>507</v>
      </c>
      <c r="D85" s="377" t="s">
        <v>200</v>
      </c>
      <c r="E85" s="377" t="s">
        <v>500</v>
      </c>
      <c r="F85" s="378" t="s">
        <v>167</v>
      </c>
      <c r="G85" s="377" t="s">
        <v>168</v>
      </c>
      <c r="H85" s="379"/>
      <c r="I85" s="379"/>
      <c r="J85" s="377" t="s">
        <v>169</v>
      </c>
      <c r="K85" s="377" t="s">
        <v>201</v>
      </c>
      <c r="L85" s="377" t="s">
        <v>202</v>
      </c>
      <c r="M85" s="377" t="s">
        <v>189</v>
      </c>
      <c r="N85" s="377" t="s">
        <v>214</v>
      </c>
      <c r="O85" s="380">
        <v>0</v>
      </c>
      <c r="P85" s="386">
        <v>1</v>
      </c>
      <c r="Q85" s="386">
        <v>0</v>
      </c>
      <c r="R85" s="381">
        <v>0</v>
      </c>
      <c r="S85" s="386">
        <v>0</v>
      </c>
      <c r="T85" s="381">
        <v>0</v>
      </c>
      <c r="U85" s="381">
        <v>0</v>
      </c>
      <c r="V85" s="381">
        <v>0</v>
      </c>
      <c r="W85" s="381">
        <v>0</v>
      </c>
      <c r="X85" s="381">
        <v>0</v>
      </c>
      <c r="Y85" s="381">
        <v>0</v>
      </c>
      <c r="Z85" s="381">
        <v>0</v>
      </c>
      <c r="AA85" s="379"/>
      <c r="AB85" s="377" t="s">
        <v>45</v>
      </c>
      <c r="AC85" s="377" t="s">
        <v>45</v>
      </c>
      <c r="AD85" s="379"/>
      <c r="AE85" s="379"/>
      <c r="AF85" s="379"/>
      <c r="AG85" s="379"/>
      <c r="AH85" s="380">
        <v>0</v>
      </c>
      <c r="AI85" s="380">
        <v>0</v>
      </c>
      <c r="AJ85" s="379"/>
      <c r="AK85" s="379"/>
      <c r="AL85" s="377" t="s">
        <v>182</v>
      </c>
      <c r="AM85" s="379"/>
      <c r="AN85" s="379"/>
      <c r="AO85" s="380">
        <v>0</v>
      </c>
      <c r="AP85" s="386">
        <v>0</v>
      </c>
      <c r="AQ85" s="386">
        <v>0</v>
      </c>
      <c r="AR85" s="385"/>
      <c r="AS85" s="388">
        <f t="shared" si="98"/>
        <v>0</v>
      </c>
      <c r="AT85">
        <f t="shared" si="99"/>
        <v>0</v>
      </c>
      <c r="AU85" s="388" t="str">
        <f>IF(AT85=0,"",IF(AND(AT85=1,M85="F",SUMIF(C2:C112,C85,AS2:AS112)&lt;=1),SUMIF(C2:C112,C85,AS2:AS112),IF(AND(AT85=1,M85="F",SUMIF(C2:C112,C85,AS2:AS112)&gt;1),1,"")))</f>
        <v/>
      </c>
      <c r="AV85" s="388" t="str">
        <f>IF(AT85=0,"",IF(AND(AT85=3,M85="F",SUMIF(C2:C112,C85,AS2:AS112)&lt;=1),SUMIF(C2:C112,C85,AS2:AS112),IF(AND(AT85=3,M85="F",SUMIF(C2:C112,C85,AS2:AS112)&gt;1),1,"")))</f>
        <v/>
      </c>
      <c r="AW85" s="388">
        <f>SUMIF(C2:C112,C85,O2:O112)</f>
        <v>0</v>
      </c>
      <c r="AX85" s="388">
        <f>IF(AND(M85="F",AS85&lt;&gt;0),SUMIF(C2:C112,C85,W2:W112),0)</f>
        <v>0</v>
      </c>
      <c r="AY85" s="388" t="str">
        <f t="shared" si="100"/>
        <v/>
      </c>
      <c r="AZ85" s="388" t="str">
        <f t="shared" si="101"/>
        <v/>
      </c>
      <c r="BA85" s="388">
        <f t="shared" si="102"/>
        <v>0</v>
      </c>
      <c r="BB85" s="388">
        <f t="shared" si="71"/>
        <v>0</v>
      </c>
      <c r="BC85" s="388">
        <f t="shared" si="72"/>
        <v>0</v>
      </c>
      <c r="BD85" s="388">
        <f t="shared" si="73"/>
        <v>0</v>
      </c>
      <c r="BE85" s="388">
        <f t="shared" si="74"/>
        <v>0</v>
      </c>
      <c r="BF85" s="388">
        <f t="shared" si="75"/>
        <v>0</v>
      </c>
      <c r="BG85" s="388">
        <f t="shared" si="76"/>
        <v>0</v>
      </c>
      <c r="BH85" s="388">
        <f t="shared" si="77"/>
        <v>0</v>
      </c>
      <c r="BI85" s="388">
        <f t="shared" si="78"/>
        <v>0</v>
      </c>
      <c r="BJ85" s="388">
        <f t="shared" si="79"/>
        <v>0</v>
      </c>
      <c r="BK85" s="388">
        <f t="shared" si="80"/>
        <v>0</v>
      </c>
      <c r="BL85" s="388">
        <f t="shared" si="103"/>
        <v>0</v>
      </c>
      <c r="BM85" s="388">
        <f t="shared" si="104"/>
        <v>0</v>
      </c>
      <c r="BN85" s="388">
        <f t="shared" si="81"/>
        <v>0</v>
      </c>
      <c r="BO85" s="388">
        <f t="shared" si="82"/>
        <v>0</v>
      </c>
      <c r="BP85" s="388">
        <f t="shared" si="83"/>
        <v>0</v>
      </c>
      <c r="BQ85" s="388">
        <f t="shared" si="84"/>
        <v>0</v>
      </c>
      <c r="BR85" s="388">
        <f t="shared" si="85"/>
        <v>0</v>
      </c>
      <c r="BS85" s="388">
        <f t="shared" si="86"/>
        <v>0</v>
      </c>
      <c r="BT85" s="388">
        <f t="shared" si="87"/>
        <v>0</v>
      </c>
      <c r="BU85" s="388">
        <f t="shared" si="88"/>
        <v>0</v>
      </c>
      <c r="BV85" s="388">
        <f t="shared" si="89"/>
        <v>0</v>
      </c>
      <c r="BW85" s="388">
        <f t="shared" si="90"/>
        <v>0</v>
      </c>
      <c r="BX85" s="388">
        <f t="shared" si="105"/>
        <v>0</v>
      </c>
      <c r="BY85" s="388">
        <f t="shared" si="106"/>
        <v>0</v>
      </c>
      <c r="BZ85" s="388">
        <f t="shared" si="107"/>
        <v>0</v>
      </c>
      <c r="CA85" s="388">
        <f t="shared" si="108"/>
        <v>0</v>
      </c>
      <c r="CB85" s="388">
        <f t="shared" si="109"/>
        <v>0</v>
      </c>
      <c r="CC85" s="388">
        <f t="shared" si="91"/>
        <v>0</v>
      </c>
      <c r="CD85" s="388">
        <f t="shared" si="92"/>
        <v>0</v>
      </c>
      <c r="CE85" s="388">
        <f t="shared" si="93"/>
        <v>0</v>
      </c>
      <c r="CF85" s="388">
        <f t="shared" si="94"/>
        <v>0</v>
      </c>
      <c r="CG85" s="388">
        <f t="shared" si="95"/>
        <v>0</v>
      </c>
      <c r="CH85" s="388">
        <f t="shared" si="96"/>
        <v>0</v>
      </c>
      <c r="CI85" s="388">
        <f t="shared" si="97"/>
        <v>0</v>
      </c>
      <c r="CJ85" s="388">
        <f t="shared" si="110"/>
        <v>0</v>
      </c>
      <c r="CK85" s="388" t="str">
        <f t="shared" si="111"/>
        <v/>
      </c>
      <c r="CL85" s="388">
        <f t="shared" si="112"/>
        <v>0</v>
      </c>
      <c r="CM85" s="388">
        <f t="shared" si="113"/>
        <v>0</v>
      </c>
      <c r="CN85" s="388" t="str">
        <f t="shared" si="114"/>
        <v>0349-00</v>
      </c>
    </row>
    <row r="86" spans="1:92" ht="15.75" thickBot="1">
      <c r="A86" s="377" t="s">
        <v>162</v>
      </c>
      <c r="B86" s="377" t="s">
        <v>163</v>
      </c>
      <c r="C86" s="377" t="s">
        <v>508</v>
      </c>
      <c r="D86" s="377" t="s">
        <v>364</v>
      </c>
      <c r="E86" s="377" t="s">
        <v>500</v>
      </c>
      <c r="F86" s="378" t="s">
        <v>167</v>
      </c>
      <c r="G86" s="377" t="s">
        <v>168</v>
      </c>
      <c r="H86" s="379"/>
      <c r="I86" s="379"/>
      <c r="J86" s="377" t="s">
        <v>169</v>
      </c>
      <c r="K86" s="377" t="s">
        <v>365</v>
      </c>
      <c r="L86" s="377" t="s">
        <v>179</v>
      </c>
      <c r="M86" s="377" t="s">
        <v>189</v>
      </c>
      <c r="N86" s="377" t="s">
        <v>214</v>
      </c>
      <c r="O86" s="380">
        <v>0</v>
      </c>
      <c r="P86" s="386">
        <v>1</v>
      </c>
      <c r="Q86" s="386">
        <v>0</v>
      </c>
      <c r="R86" s="381">
        <v>0</v>
      </c>
      <c r="S86" s="386">
        <v>0</v>
      </c>
      <c r="T86" s="381">
        <v>128.4</v>
      </c>
      <c r="U86" s="381">
        <v>91.49</v>
      </c>
      <c r="V86" s="381">
        <v>22.69</v>
      </c>
      <c r="W86" s="381">
        <v>219.89</v>
      </c>
      <c r="X86" s="381">
        <v>22.69</v>
      </c>
      <c r="Y86" s="381">
        <v>219.89</v>
      </c>
      <c r="Z86" s="381">
        <v>22.69</v>
      </c>
      <c r="AA86" s="379"/>
      <c r="AB86" s="377" t="s">
        <v>45</v>
      </c>
      <c r="AC86" s="377" t="s">
        <v>45</v>
      </c>
      <c r="AD86" s="379"/>
      <c r="AE86" s="379"/>
      <c r="AF86" s="379"/>
      <c r="AG86" s="379"/>
      <c r="AH86" s="380">
        <v>0</v>
      </c>
      <c r="AI86" s="380">
        <v>0</v>
      </c>
      <c r="AJ86" s="379"/>
      <c r="AK86" s="379"/>
      <c r="AL86" s="377" t="s">
        <v>182</v>
      </c>
      <c r="AM86" s="379"/>
      <c r="AN86" s="379"/>
      <c r="AO86" s="380">
        <v>0</v>
      </c>
      <c r="AP86" s="386">
        <v>0</v>
      </c>
      <c r="AQ86" s="386">
        <v>0</v>
      </c>
      <c r="AR86" s="385"/>
      <c r="AS86" s="388">
        <f t="shared" si="98"/>
        <v>0</v>
      </c>
      <c r="AT86">
        <f t="shared" si="99"/>
        <v>0</v>
      </c>
      <c r="AU86" s="388" t="str">
        <f>IF(AT86=0,"",IF(AND(AT86=1,M86="F",SUMIF(C2:C112,C86,AS2:AS112)&lt;=1),SUMIF(C2:C112,C86,AS2:AS112),IF(AND(AT86=1,M86="F",SUMIF(C2:C112,C86,AS2:AS112)&gt;1),1,"")))</f>
        <v/>
      </c>
      <c r="AV86" s="388" t="str">
        <f>IF(AT86=0,"",IF(AND(AT86=3,M86="F",SUMIF(C2:C112,C86,AS2:AS112)&lt;=1),SUMIF(C2:C112,C86,AS2:AS112),IF(AND(AT86=3,M86="F",SUMIF(C2:C112,C86,AS2:AS112)&gt;1),1,"")))</f>
        <v/>
      </c>
      <c r="AW86" s="388">
        <f>SUMIF(C2:C112,C86,O2:O112)</f>
        <v>0</v>
      </c>
      <c r="AX86" s="388">
        <f>IF(AND(M86="F",AS86&lt;&gt;0),SUMIF(C2:C112,C86,W2:W112),0)</f>
        <v>0</v>
      </c>
      <c r="AY86" s="388" t="str">
        <f t="shared" si="100"/>
        <v/>
      </c>
      <c r="AZ86" s="388" t="str">
        <f t="shared" si="101"/>
        <v/>
      </c>
      <c r="BA86" s="388">
        <f t="shared" si="102"/>
        <v>0</v>
      </c>
      <c r="BB86" s="388">
        <f t="shared" si="71"/>
        <v>0</v>
      </c>
      <c r="BC86" s="388">
        <f t="shared" si="72"/>
        <v>0</v>
      </c>
      <c r="BD86" s="388">
        <f t="shared" si="73"/>
        <v>0</v>
      </c>
      <c r="BE86" s="388">
        <f t="shared" si="74"/>
        <v>0</v>
      </c>
      <c r="BF86" s="388">
        <f t="shared" si="75"/>
        <v>0</v>
      </c>
      <c r="BG86" s="388">
        <f t="shared" si="76"/>
        <v>0</v>
      </c>
      <c r="BH86" s="388">
        <f t="shared" si="77"/>
        <v>0</v>
      </c>
      <c r="BI86" s="388">
        <f t="shared" si="78"/>
        <v>0</v>
      </c>
      <c r="BJ86" s="388">
        <f t="shared" si="79"/>
        <v>0</v>
      </c>
      <c r="BK86" s="388">
        <f t="shared" si="80"/>
        <v>0</v>
      </c>
      <c r="BL86" s="388">
        <f t="shared" si="103"/>
        <v>0</v>
      </c>
      <c r="BM86" s="388">
        <f t="shared" si="104"/>
        <v>0</v>
      </c>
      <c r="BN86" s="388">
        <f t="shared" si="81"/>
        <v>0</v>
      </c>
      <c r="BO86" s="388">
        <f t="shared" si="82"/>
        <v>0</v>
      </c>
      <c r="BP86" s="388">
        <f t="shared" si="83"/>
        <v>0</v>
      </c>
      <c r="BQ86" s="388">
        <f t="shared" si="84"/>
        <v>0</v>
      </c>
      <c r="BR86" s="388">
        <f t="shared" si="85"/>
        <v>0</v>
      </c>
      <c r="BS86" s="388">
        <f t="shared" si="86"/>
        <v>0</v>
      </c>
      <c r="BT86" s="388">
        <f t="shared" si="87"/>
        <v>0</v>
      </c>
      <c r="BU86" s="388">
        <f t="shared" si="88"/>
        <v>0</v>
      </c>
      <c r="BV86" s="388">
        <f t="shared" si="89"/>
        <v>0</v>
      </c>
      <c r="BW86" s="388">
        <f t="shared" si="90"/>
        <v>0</v>
      </c>
      <c r="BX86" s="388">
        <f t="shared" si="105"/>
        <v>0</v>
      </c>
      <c r="BY86" s="388">
        <f t="shared" si="106"/>
        <v>0</v>
      </c>
      <c r="BZ86" s="388">
        <f t="shared" si="107"/>
        <v>0</v>
      </c>
      <c r="CA86" s="388">
        <f t="shared" si="108"/>
        <v>0</v>
      </c>
      <c r="CB86" s="388">
        <f t="shared" si="109"/>
        <v>0</v>
      </c>
      <c r="CC86" s="388">
        <f t="shared" si="91"/>
        <v>0</v>
      </c>
      <c r="CD86" s="388">
        <f t="shared" si="92"/>
        <v>0</v>
      </c>
      <c r="CE86" s="388">
        <f t="shared" si="93"/>
        <v>0</v>
      </c>
      <c r="CF86" s="388">
        <f t="shared" si="94"/>
        <v>0</v>
      </c>
      <c r="CG86" s="388">
        <f t="shared" si="95"/>
        <v>0</v>
      </c>
      <c r="CH86" s="388">
        <f t="shared" si="96"/>
        <v>0</v>
      </c>
      <c r="CI86" s="388">
        <f t="shared" si="97"/>
        <v>0</v>
      </c>
      <c r="CJ86" s="388">
        <f t="shared" si="110"/>
        <v>0</v>
      </c>
      <c r="CK86" s="388" t="str">
        <f t="shared" si="111"/>
        <v/>
      </c>
      <c r="CL86" s="388">
        <f t="shared" si="112"/>
        <v>219.89</v>
      </c>
      <c r="CM86" s="388">
        <f t="shared" si="113"/>
        <v>22.69</v>
      </c>
      <c r="CN86" s="388" t="str">
        <f t="shared" si="114"/>
        <v>0349-00</v>
      </c>
    </row>
    <row r="87" spans="1:92" ht="15.75" thickBot="1">
      <c r="A87" s="377" t="s">
        <v>162</v>
      </c>
      <c r="B87" s="377" t="s">
        <v>163</v>
      </c>
      <c r="C87" s="377" t="s">
        <v>509</v>
      </c>
      <c r="D87" s="377" t="s">
        <v>407</v>
      </c>
      <c r="E87" s="377" t="s">
        <v>500</v>
      </c>
      <c r="F87" s="378" t="s">
        <v>167</v>
      </c>
      <c r="G87" s="377" t="s">
        <v>168</v>
      </c>
      <c r="H87" s="379"/>
      <c r="I87" s="379"/>
      <c r="J87" s="377" t="s">
        <v>169</v>
      </c>
      <c r="K87" s="377" t="s">
        <v>408</v>
      </c>
      <c r="L87" s="377" t="s">
        <v>385</v>
      </c>
      <c r="M87" s="377" t="s">
        <v>172</v>
      </c>
      <c r="N87" s="377" t="s">
        <v>173</v>
      </c>
      <c r="O87" s="380">
        <v>1</v>
      </c>
      <c r="P87" s="386">
        <v>1</v>
      </c>
      <c r="Q87" s="386">
        <v>1</v>
      </c>
      <c r="R87" s="381">
        <v>80</v>
      </c>
      <c r="S87" s="386">
        <v>1</v>
      </c>
      <c r="T87" s="381">
        <v>4426</v>
      </c>
      <c r="U87" s="381">
        <v>0</v>
      </c>
      <c r="V87" s="381">
        <v>2502.94</v>
      </c>
      <c r="W87" s="381">
        <v>46030.400000000001</v>
      </c>
      <c r="X87" s="381">
        <v>22454.04</v>
      </c>
      <c r="Y87" s="381">
        <v>46030.400000000001</v>
      </c>
      <c r="Z87" s="381">
        <v>23285.16</v>
      </c>
      <c r="AA87" s="377" t="s">
        <v>510</v>
      </c>
      <c r="AB87" s="377" t="s">
        <v>280</v>
      </c>
      <c r="AC87" s="377" t="s">
        <v>511</v>
      </c>
      <c r="AD87" s="377" t="s">
        <v>312</v>
      </c>
      <c r="AE87" s="377" t="s">
        <v>408</v>
      </c>
      <c r="AF87" s="377" t="s">
        <v>389</v>
      </c>
      <c r="AG87" s="377" t="s">
        <v>179</v>
      </c>
      <c r="AH87" s="382">
        <v>22.13</v>
      </c>
      <c r="AI87" s="382">
        <v>376.6</v>
      </c>
      <c r="AJ87" s="377" t="s">
        <v>180</v>
      </c>
      <c r="AK87" s="377" t="s">
        <v>181</v>
      </c>
      <c r="AL87" s="377" t="s">
        <v>182</v>
      </c>
      <c r="AM87" s="377" t="s">
        <v>183</v>
      </c>
      <c r="AN87" s="377" t="s">
        <v>66</v>
      </c>
      <c r="AO87" s="380">
        <v>80</v>
      </c>
      <c r="AP87" s="386">
        <v>1</v>
      </c>
      <c r="AQ87" s="386">
        <v>1</v>
      </c>
      <c r="AR87" s="384" t="s">
        <v>184</v>
      </c>
      <c r="AS87" s="388">
        <f t="shared" si="98"/>
        <v>1</v>
      </c>
      <c r="AT87">
        <f t="shared" si="99"/>
        <v>1</v>
      </c>
      <c r="AU87" s="388">
        <f>IF(AT87=0,"",IF(AND(AT87=1,M87="F",SUMIF(C2:C112,C87,AS2:AS112)&lt;=1),SUMIF(C2:C112,C87,AS2:AS112),IF(AND(AT87=1,M87="F",SUMIF(C2:C112,C87,AS2:AS112)&gt;1),1,"")))</f>
        <v>1</v>
      </c>
      <c r="AV87" s="388" t="str">
        <f>IF(AT87=0,"",IF(AND(AT87=3,M87="F",SUMIF(C2:C112,C87,AS2:AS112)&lt;=1),SUMIF(C2:C112,C87,AS2:AS112),IF(AND(AT87=3,M87="F",SUMIF(C2:C112,C87,AS2:AS112)&gt;1),1,"")))</f>
        <v/>
      </c>
      <c r="AW87" s="388">
        <f>SUMIF(C2:C112,C87,O2:O112)</f>
        <v>1</v>
      </c>
      <c r="AX87" s="388">
        <f>IF(AND(M87="F",AS87&lt;&gt;0),SUMIF(C2:C112,C87,W2:W112),0)</f>
        <v>46030.400000000001</v>
      </c>
      <c r="AY87" s="388">
        <f t="shared" si="100"/>
        <v>46030.400000000001</v>
      </c>
      <c r="AZ87" s="388" t="str">
        <f t="shared" si="101"/>
        <v/>
      </c>
      <c r="BA87" s="388">
        <f t="shared" si="102"/>
        <v>0</v>
      </c>
      <c r="BB87" s="388">
        <f t="shared" si="71"/>
        <v>12500</v>
      </c>
      <c r="BC87" s="388">
        <f t="shared" si="72"/>
        <v>0</v>
      </c>
      <c r="BD87" s="388">
        <f t="shared" si="73"/>
        <v>2853.8848000000003</v>
      </c>
      <c r="BE87" s="388">
        <f t="shared" si="74"/>
        <v>667.44080000000008</v>
      </c>
      <c r="BF87" s="388">
        <f t="shared" si="75"/>
        <v>5496.0297600000004</v>
      </c>
      <c r="BG87" s="388">
        <f t="shared" si="76"/>
        <v>331.87918400000001</v>
      </c>
      <c r="BH87" s="388">
        <f t="shared" si="77"/>
        <v>0</v>
      </c>
      <c r="BI87" s="388">
        <f t="shared" si="78"/>
        <v>254.77826400000001</v>
      </c>
      <c r="BJ87" s="388">
        <f t="shared" si="79"/>
        <v>349.83104000000003</v>
      </c>
      <c r="BK87" s="388">
        <f t="shared" si="80"/>
        <v>0</v>
      </c>
      <c r="BL87" s="388">
        <f t="shared" si="103"/>
        <v>9953.8438480000004</v>
      </c>
      <c r="BM87" s="388">
        <f t="shared" si="104"/>
        <v>0</v>
      </c>
      <c r="BN87" s="388">
        <f t="shared" si="81"/>
        <v>13750</v>
      </c>
      <c r="BO87" s="388">
        <f t="shared" si="82"/>
        <v>0</v>
      </c>
      <c r="BP87" s="388">
        <f t="shared" si="83"/>
        <v>2853.8848000000003</v>
      </c>
      <c r="BQ87" s="388">
        <f t="shared" si="84"/>
        <v>667.44080000000008</v>
      </c>
      <c r="BR87" s="388">
        <f t="shared" si="85"/>
        <v>5146.1987200000003</v>
      </c>
      <c r="BS87" s="388">
        <f t="shared" si="86"/>
        <v>331.87918400000001</v>
      </c>
      <c r="BT87" s="388">
        <f t="shared" si="87"/>
        <v>0</v>
      </c>
      <c r="BU87" s="388">
        <f t="shared" si="88"/>
        <v>254.77826400000001</v>
      </c>
      <c r="BV87" s="388">
        <f t="shared" si="89"/>
        <v>280.78544000000005</v>
      </c>
      <c r="BW87" s="388">
        <f t="shared" si="90"/>
        <v>0</v>
      </c>
      <c r="BX87" s="388">
        <f t="shared" si="105"/>
        <v>9534.967208</v>
      </c>
      <c r="BY87" s="388">
        <f t="shared" si="106"/>
        <v>0</v>
      </c>
      <c r="BZ87" s="388">
        <f t="shared" si="107"/>
        <v>1250</v>
      </c>
      <c r="CA87" s="388">
        <f t="shared" si="108"/>
        <v>0</v>
      </c>
      <c r="CB87" s="388">
        <f t="shared" si="109"/>
        <v>0</v>
      </c>
      <c r="CC87" s="388">
        <f t="shared" si="91"/>
        <v>0</v>
      </c>
      <c r="CD87" s="388">
        <f t="shared" si="92"/>
        <v>-349.83104000000043</v>
      </c>
      <c r="CE87" s="388">
        <f t="shared" si="93"/>
        <v>0</v>
      </c>
      <c r="CF87" s="388">
        <f t="shared" si="94"/>
        <v>0</v>
      </c>
      <c r="CG87" s="388">
        <f t="shared" si="95"/>
        <v>0</v>
      </c>
      <c r="CH87" s="388">
        <f t="shared" si="96"/>
        <v>-69.045599999999979</v>
      </c>
      <c r="CI87" s="388">
        <f t="shared" si="97"/>
        <v>0</v>
      </c>
      <c r="CJ87" s="388">
        <f t="shared" si="110"/>
        <v>-418.87664000000041</v>
      </c>
      <c r="CK87" s="388" t="str">
        <f t="shared" si="111"/>
        <v/>
      </c>
      <c r="CL87" s="388" t="str">
        <f t="shared" si="112"/>
        <v/>
      </c>
      <c r="CM87" s="388" t="str">
        <f t="shared" si="113"/>
        <v/>
      </c>
      <c r="CN87" s="388" t="str">
        <f t="shared" si="114"/>
        <v>0349-00</v>
      </c>
    </row>
    <row r="88" spans="1:92" ht="15.75" thickBot="1">
      <c r="A88" s="377" t="s">
        <v>162</v>
      </c>
      <c r="B88" s="377" t="s">
        <v>163</v>
      </c>
      <c r="C88" s="377" t="s">
        <v>453</v>
      </c>
      <c r="D88" s="377" t="s">
        <v>454</v>
      </c>
      <c r="E88" s="377" t="s">
        <v>500</v>
      </c>
      <c r="F88" s="378" t="s">
        <v>167</v>
      </c>
      <c r="G88" s="377" t="s">
        <v>168</v>
      </c>
      <c r="H88" s="379"/>
      <c r="I88" s="379"/>
      <c r="J88" s="377" t="s">
        <v>169</v>
      </c>
      <c r="K88" s="377" t="s">
        <v>455</v>
      </c>
      <c r="L88" s="377" t="s">
        <v>385</v>
      </c>
      <c r="M88" s="377" t="s">
        <v>172</v>
      </c>
      <c r="N88" s="377" t="s">
        <v>173</v>
      </c>
      <c r="O88" s="380">
        <v>1</v>
      </c>
      <c r="P88" s="386">
        <v>1</v>
      </c>
      <c r="Q88" s="386">
        <v>1</v>
      </c>
      <c r="R88" s="381">
        <v>80</v>
      </c>
      <c r="S88" s="386">
        <v>1</v>
      </c>
      <c r="T88" s="381">
        <v>39856.5</v>
      </c>
      <c r="U88" s="381">
        <v>0</v>
      </c>
      <c r="V88" s="381">
        <v>16577.689999999999</v>
      </c>
      <c r="W88" s="381">
        <v>54641.599999999999</v>
      </c>
      <c r="X88" s="381">
        <v>24316.21</v>
      </c>
      <c r="Y88" s="381">
        <v>54641.599999999999</v>
      </c>
      <c r="Z88" s="381">
        <v>25068.98</v>
      </c>
      <c r="AA88" s="377" t="s">
        <v>456</v>
      </c>
      <c r="AB88" s="377" t="s">
        <v>457</v>
      </c>
      <c r="AC88" s="377" t="s">
        <v>458</v>
      </c>
      <c r="AD88" s="377" t="s">
        <v>188</v>
      </c>
      <c r="AE88" s="377" t="s">
        <v>234</v>
      </c>
      <c r="AF88" s="377" t="s">
        <v>237</v>
      </c>
      <c r="AG88" s="377" t="s">
        <v>179</v>
      </c>
      <c r="AH88" s="382">
        <v>26.27</v>
      </c>
      <c r="AI88" s="382">
        <v>17341.7</v>
      </c>
      <c r="AJ88" s="377" t="s">
        <v>180</v>
      </c>
      <c r="AK88" s="377" t="s">
        <v>181</v>
      </c>
      <c r="AL88" s="377" t="s">
        <v>182</v>
      </c>
      <c r="AM88" s="377" t="s">
        <v>183</v>
      </c>
      <c r="AN88" s="377" t="s">
        <v>66</v>
      </c>
      <c r="AO88" s="380">
        <v>80</v>
      </c>
      <c r="AP88" s="386">
        <v>1</v>
      </c>
      <c r="AQ88" s="386">
        <v>1</v>
      </c>
      <c r="AR88" s="384" t="s">
        <v>184</v>
      </c>
      <c r="AS88" s="388">
        <f t="shared" si="98"/>
        <v>1</v>
      </c>
      <c r="AT88">
        <f t="shared" si="99"/>
        <v>1</v>
      </c>
      <c r="AU88" s="388">
        <f>IF(AT88=0,"",IF(AND(AT88=1,M88="F",SUMIF(C2:C112,C88,AS2:AS112)&lt;=1),SUMIF(C2:C112,C88,AS2:AS112),IF(AND(AT88=1,M88="F",SUMIF(C2:C112,C88,AS2:AS112)&gt;1),1,"")))</f>
        <v>1</v>
      </c>
      <c r="AV88" s="388" t="str">
        <f>IF(AT88=0,"",IF(AND(AT88=3,M88="F",SUMIF(C2:C112,C88,AS2:AS112)&lt;=1),SUMIF(C2:C112,C88,AS2:AS112),IF(AND(AT88=3,M88="F",SUMIF(C2:C112,C88,AS2:AS112)&gt;1),1,"")))</f>
        <v/>
      </c>
      <c r="AW88" s="388">
        <f>SUMIF(C2:C112,C88,O2:O112)</f>
        <v>2</v>
      </c>
      <c r="AX88" s="388">
        <f>IF(AND(M88="F",AS88&lt;&gt;0),SUMIF(C2:C112,C88,W2:W112),0)</f>
        <v>54641.599999999999</v>
      </c>
      <c r="AY88" s="388">
        <f t="shared" si="100"/>
        <v>54641.599999999999</v>
      </c>
      <c r="AZ88" s="388" t="str">
        <f t="shared" si="101"/>
        <v/>
      </c>
      <c r="BA88" s="388">
        <f t="shared" si="102"/>
        <v>0</v>
      </c>
      <c r="BB88" s="388">
        <f t="shared" si="71"/>
        <v>12500</v>
      </c>
      <c r="BC88" s="388">
        <f t="shared" si="72"/>
        <v>0</v>
      </c>
      <c r="BD88" s="388">
        <f t="shared" si="73"/>
        <v>3387.7791999999999</v>
      </c>
      <c r="BE88" s="388">
        <f t="shared" si="74"/>
        <v>792.30320000000006</v>
      </c>
      <c r="BF88" s="388">
        <f t="shared" si="75"/>
        <v>6524.2070400000002</v>
      </c>
      <c r="BG88" s="388">
        <f t="shared" si="76"/>
        <v>393.965936</v>
      </c>
      <c r="BH88" s="388">
        <f t="shared" si="77"/>
        <v>0</v>
      </c>
      <c r="BI88" s="388">
        <f t="shared" si="78"/>
        <v>302.44125600000001</v>
      </c>
      <c r="BJ88" s="388">
        <f t="shared" si="79"/>
        <v>415.27616</v>
      </c>
      <c r="BK88" s="388">
        <f t="shared" si="80"/>
        <v>0</v>
      </c>
      <c r="BL88" s="388">
        <f t="shared" si="103"/>
        <v>11815.972792</v>
      </c>
      <c r="BM88" s="388">
        <f t="shared" si="104"/>
        <v>0</v>
      </c>
      <c r="BN88" s="388">
        <f t="shared" si="81"/>
        <v>13750</v>
      </c>
      <c r="BO88" s="388">
        <f t="shared" si="82"/>
        <v>0</v>
      </c>
      <c r="BP88" s="388">
        <f t="shared" si="83"/>
        <v>3387.7791999999999</v>
      </c>
      <c r="BQ88" s="388">
        <f t="shared" si="84"/>
        <v>792.30320000000006</v>
      </c>
      <c r="BR88" s="388">
        <f t="shared" si="85"/>
        <v>6108.9308799999999</v>
      </c>
      <c r="BS88" s="388">
        <f t="shared" si="86"/>
        <v>393.965936</v>
      </c>
      <c r="BT88" s="388">
        <f t="shared" si="87"/>
        <v>0</v>
      </c>
      <c r="BU88" s="388">
        <f t="shared" si="88"/>
        <v>302.44125600000001</v>
      </c>
      <c r="BV88" s="388">
        <f t="shared" si="89"/>
        <v>333.31376</v>
      </c>
      <c r="BW88" s="388">
        <f t="shared" si="90"/>
        <v>0</v>
      </c>
      <c r="BX88" s="388">
        <f t="shared" si="105"/>
        <v>11318.734231999999</v>
      </c>
      <c r="BY88" s="388">
        <f t="shared" si="106"/>
        <v>0</v>
      </c>
      <c r="BZ88" s="388">
        <f t="shared" si="107"/>
        <v>1250</v>
      </c>
      <c r="CA88" s="388">
        <f t="shared" si="108"/>
        <v>0</v>
      </c>
      <c r="CB88" s="388">
        <f t="shared" si="109"/>
        <v>0</v>
      </c>
      <c r="CC88" s="388">
        <f t="shared" si="91"/>
        <v>0</v>
      </c>
      <c r="CD88" s="388">
        <f t="shared" si="92"/>
        <v>-415.27616000000052</v>
      </c>
      <c r="CE88" s="388">
        <f t="shared" si="93"/>
        <v>0</v>
      </c>
      <c r="CF88" s="388">
        <f t="shared" si="94"/>
        <v>0</v>
      </c>
      <c r="CG88" s="388">
        <f t="shared" si="95"/>
        <v>0</v>
      </c>
      <c r="CH88" s="388">
        <f t="shared" si="96"/>
        <v>-81.962399999999974</v>
      </c>
      <c r="CI88" s="388">
        <f t="shared" si="97"/>
        <v>0</v>
      </c>
      <c r="CJ88" s="388">
        <f t="shared" si="110"/>
        <v>-497.23856000000046</v>
      </c>
      <c r="CK88" s="388" t="str">
        <f t="shared" si="111"/>
        <v/>
      </c>
      <c r="CL88" s="388" t="str">
        <f t="shared" si="112"/>
        <v/>
      </c>
      <c r="CM88" s="388" t="str">
        <f t="shared" si="113"/>
        <v/>
      </c>
      <c r="CN88" s="388" t="str">
        <f t="shared" si="114"/>
        <v>0349-00</v>
      </c>
    </row>
    <row r="89" spans="1:92" ht="15.75" thickBot="1">
      <c r="A89" s="377" t="s">
        <v>162</v>
      </c>
      <c r="B89" s="377" t="s">
        <v>163</v>
      </c>
      <c r="C89" s="377" t="s">
        <v>512</v>
      </c>
      <c r="D89" s="377" t="s">
        <v>391</v>
      </c>
      <c r="E89" s="377" t="s">
        <v>500</v>
      </c>
      <c r="F89" s="378" t="s">
        <v>167</v>
      </c>
      <c r="G89" s="377" t="s">
        <v>168</v>
      </c>
      <c r="H89" s="379"/>
      <c r="I89" s="379"/>
      <c r="J89" s="377" t="s">
        <v>169</v>
      </c>
      <c r="K89" s="377" t="s">
        <v>392</v>
      </c>
      <c r="L89" s="377" t="s">
        <v>179</v>
      </c>
      <c r="M89" s="377" t="s">
        <v>172</v>
      </c>
      <c r="N89" s="377" t="s">
        <v>173</v>
      </c>
      <c r="O89" s="380">
        <v>1</v>
      </c>
      <c r="P89" s="386">
        <v>1</v>
      </c>
      <c r="Q89" s="386">
        <v>1</v>
      </c>
      <c r="R89" s="381">
        <v>80</v>
      </c>
      <c r="S89" s="386">
        <v>1</v>
      </c>
      <c r="T89" s="381">
        <v>37427.199999999997</v>
      </c>
      <c r="U89" s="381">
        <v>52.8</v>
      </c>
      <c r="V89" s="381">
        <v>21685.77</v>
      </c>
      <c r="W89" s="381">
        <v>41932.800000000003</v>
      </c>
      <c r="X89" s="381">
        <v>21567.93</v>
      </c>
      <c r="Y89" s="381">
        <v>41932.800000000003</v>
      </c>
      <c r="Z89" s="381">
        <v>22436.35</v>
      </c>
      <c r="AA89" s="377" t="s">
        <v>513</v>
      </c>
      <c r="AB89" s="377" t="s">
        <v>514</v>
      </c>
      <c r="AC89" s="377" t="s">
        <v>515</v>
      </c>
      <c r="AD89" s="377" t="s">
        <v>288</v>
      </c>
      <c r="AE89" s="377" t="s">
        <v>392</v>
      </c>
      <c r="AF89" s="377" t="s">
        <v>210</v>
      </c>
      <c r="AG89" s="377" t="s">
        <v>179</v>
      </c>
      <c r="AH89" s="382">
        <v>20.16</v>
      </c>
      <c r="AI89" s="382">
        <v>7840.7</v>
      </c>
      <c r="AJ89" s="377" t="s">
        <v>180</v>
      </c>
      <c r="AK89" s="377" t="s">
        <v>181</v>
      </c>
      <c r="AL89" s="377" t="s">
        <v>182</v>
      </c>
      <c r="AM89" s="377" t="s">
        <v>183</v>
      </c>
      <c r="AN89" s="377" t="s">
        <v>66</v>
      </c>
      <c r="AO89" s="380">
        <v>80</v>
      </c>
      <c r="AP89" s="386">
        <v>1</v>
      </c>
      <c r="AQ89" s="386">
        <v>1</v>
      </c>
      <c r="AR89" s="384" t="s">
        <v>184</v>
      </c>
      <c r="AS89" s="388">
        <f t="shared" si="98"/>
        <v>1</v>
      </c>
      <c r="AT89">
        <f t="shared" si="99"/>
        <v>1</v>
      </c>
      <c r="AU89" s="388">
        <f>IF(AT89=0,"",IF(AND(AT89=1,M89="F",SUMIF(C2:C112,C89,AS2:AS112)&lt;=1),SUMIF(C2:C112,C89,AS2:AS112),IF(AND(AT89=1,M89="F",SUMIF(C2:C112,C89,AS2:AS112)&gt;1),1,"")))</f>
        <v>1</v>
      </c>
      <c r="AV89" s="388" t="str">
        <f>IF(AT89=0,"",IF(AND(AT89=3,M89="F",SUMIF(C2:C112,C89,AS2:AS112)&lt;=1),SUMIF(C2:C112,C89,AS2:AS112),IF(AND(AT89=3,M89="F",SUMIF(C2:C112,C89,AS2:AS112)&gt;1),1,"")))</f>
        <v/>
      </c>
      <c r="AW89" s="388">
        <f>SUMIF(C2:C112,C89,O2:O112)</f>
        <v>1</v>
      </c>
      <c r="AX89" s="388">
        <f>IF(AND(M89="F",AS89&lt;&gt;0),SUMIF(C2:C112,C89,W2:W112),0)</f>
        <v>41932.800000000003</v>
      </c>
      <c r="AY89" s="388">
        <f t="shared" si="100"/>
        <v>41932.800000000003</v>
      </c>
      <c r="AZ89" s="388" t="str">
        <f t="shared" si="101"/>
        <v/>
      </c>
      <c r="BA89" s="388">
        <f t="shared" si="102"/>
        <v>0</v>
      </c>
      <c r="BB89" s="388">
        <f t="shared" si="71"/>
        <v>12500</v>
      </c>
      <c r="BC89" s="388">
        <f t="shared" si="72"/>
        <v>0</v>
      </c>
      <c r="BD89" s="388">
        <f t="shared" si="73"/>
        <v>2599.8336000000004</v>
      </c>
      <c r="BE89" s="388">
        <f t="shared" si="74"/>
        <v>608.02560000000005</v>
      </c>
      <c r="BF89" s="388">
        <f t="shared" si="75"/>
        <v>5006.7763200000009</v>
      </c>
      <c r="BG89" s="388">
        <f t="shared" si="76"/>
        <v>302.33548800000005</v>
      </c>
      <c r="BH89" s="388">
        <f t="shared" si="77"/>
        <v>0</v>
      </c>
      <c r="BI89" s="388">
        <f t="shared" si="78"/>
        <v>232.09804800000001</v>
      </c>
      <c r="BJ89" s="388">
        <f t="shared" si="79"/>
        <v>318.68928</v>
      </c>
      <c r="BK89" s="388">
        <f t="shared" si="80"/>
        <v>0</v>
      </c>
      <c r="BL89" s="388">
        <f t="shared" si="103"/>
        <v>9067.7583360000026</v>
      </c>
      <c r="BM89" s="388">
        <f t="shared" si="104"/>
        <v>0</v>
      </c>
      <c r="BN89" s="388">
        <f t="shared" si="81"/>
        <v>13750</v>
      </c>
      <c r="BO89" s="388">
        <f t="shared" si="82"/>
        <v>0</v>
      </c>
      <c r="BP89" s="388">
        <f t="shared" si="83"/>
        <v>2599.8336000000004</v>
      </c>
      <c r="BQ89" s="388">
        <f t="shared" si="84"/>
        <v>608.02560000000005</v>
      </c>
      <c r="BR89" s="388">
        <f t="shared" si="85"/>
        <v>4688.0870400000003</v>
      </c>
      <c r="BS89" s="388">
        <f t="shared" si="86"/>
        <v>302.33548800000005</v>
      </c>
      <c r="BT89" s="388">
        <f t="shared" si="87"/>
        <v>0</v>
      </c>
      <c r="BU89" s="388">
        <f t="shared" si="88"/>
        <v>232.09804800000001</v>
      </c>
      <c r="BV89" s="388">
        <f t="shared" si="89"/>
        <v>255.79008000000005</v>
      </c>
      <c r="BW89" s="388">
        <f t="shared" si="90"/>
        <v>0</v>
      </c>
      <c r="BX89" s="388">
        <f t="shared" si="105"/>
        <v>8686.1698560000023</v>
      </c>
      <c r="BY89" s="388">
        <f t="shared" si="106"/>
        <v>0</v>
      </c>
      <c r="BZ89" s="388">
        <f t="shared" si="107"/>
        <v>1250</v>
      </c>
      <c r="CA89" s="388">
        <f t="shared" si="108"/>
        <v>0</v>
      </c>
      <c r="CB89" s="388">
        <f t="shared" si="109"/>
        <v>0</v>
      </c>
      <c r="CC89" s="388">
        <f t="shared" si="91"/>
        <v>0</v>
      </c>
      <c r="CD89" s="388">
        <f t="shared" si="92"/>
        <v>-318.68928000000039</v>
      </c>
      <c r="CE89" s="388">
        <f t="shared" si="93"/>
        <v>0</v>
      </c>
      <c r="CF89" s="388">
        <f t="shared" si="94"/>
        <v>0</v>
      </c>
      <c r="CG89" s="388">
        <f t="shared" si="95"/>
        <v>0</v>
      </c>
      <c r="CH89" s="388">
        <f t="shared" si="96"/>
        <v>-62.899199999999986</v>
      </c>
      <c r="CI89" s="388">
        <f t="shared" si="97"/>
        <v>0</v>
      </c>
      <c r="CJ89" s="388">
        <f t="shared" si="110"/>
        <v>-381.5884800000004</v>
      </c>
      <c r="CK89" s="388" t="str">
        <f t="shared" si="111"/>
        <v/>
      </c>
      <c r="CL89" s="388" t="str">
        <f t="shared" si="112"/>
        <v/>
      </c>
      <c r="CM89" s="388" t="str">
        <f t="shared" si="113"/>
        <v/>
      </c>
      <c r="CN89" s="388" t="str">
        <f t="shared" si="114"/>
        <v>0349-00</v>
      </c>
    </row>
    <row r="90" spans="1:92" ht="15.75" thickBot="1">
      <c r="A90" s="377" t="s">
        <v>162</v>
      </c>
      <c r="B90" s="377" t="s">
        <v>163</v>
      </c>
      <c r="C90" s="377" t="s">
        <v>462</v>
      </c>
      <c r="D90" s="377" t="s">
        <v>454</v>
      </c>
      <c r="E90" s="377" t="s">
        <v>500</v>
      </c>
      <c r="F90" s="378" t="s">
        <v>167</v>
      </c>
      <c r="G90" s="377" t="s">
        <v>168</v>
      </c>
      <c r="H90" s="379"/>
      <c r="I90" s="379"/>
      <c r="J90" s="377" t="s">
        <v>169</v>
      </c>
      <c r="K90" s="377" t="s">
        <v>455</v>
      </c>
      <c r="L90" s="377" t="s">
        <v>385</v>
      </c>
      <c r="M90" s="377" t="s">
        <v>172</v>
      </c>
      <c r="N90" s="377" t="s">
        <v>173</v>
      </c>
      <c r="O90" s="380">
        <v>1</v>
      </c>
      <c r="P90" s="386">
        <v>1</v>
      </c>
      <c r="Q90" s="386">
        <v>1</v>
      </c>
      <c r="R90" s="381">
        <v>80</v>
      </c>
      <c r="S90" s="386">
        <v>1</v>
      </c>
      <c r="T90" s="381">
        <v>42981.05</v>
      </c>
      <c r="U90" s="381">
        <v>0</v>
      </c>
      <c r="V90" s="381">
        <v>19265.98</v>
      </c>
      <c r="W90" s="381">
        <v>54641.599999999999</v>
      </c>
      <c r="X90" s="381">
        <v>24316.21</v>
      </c>
      <c r="Y90" s="381">
        <v>54641.599999999999</v>
      </c>
      <c r="Z90" s="381">
        <v>25068.98</v>
      </c>
      <c r="AA90" s="377" t="s">
        <v>463</v>
      </c>
      <c r="AB90" s="377" t="s">
        <v>464</v>
      </c>
      <c r="AC90" s="377" t="s">
        <v>465</v>
      </c>
      <c r="AD90" s="377" t="s">
        <v>385</v>
      </c>
      <c r="AE90" s="377" t="s">
        <v>234</v>
      </c>
      <c r="AF90" s="377" t="s">
        <v>237</v>
      </c>
      <c r="AG90" s="377" t="s">
        <v>179</v>
      </c>
      <c r="AH90" s="382">
        <v>26.27</v>
      </c>
      <c r="AI90" s="382">
        <v>12432.7</v>
      </c>
      <c r="AJ90" s="377" t="s">
        <v>180</v>
      </c>
      <c r="AK90" s="377" t="s">
        <v>181</v>
      </c>
      <c r="AL90" s="377" t="s">
        <v>182</v>
      </c>
      <c r="AM90" s="377" t="s">
        <v>183</v>
      </c>
      <c r="AN90" s="377" t="s">
        <v>66</v>
      </c>
      <c r="AO90" s="380">
        <v>80</v>
      </c>
      <c r="AP90" s="386">
        <v>1</v>
      </c>
      <c r="AQ90" s="386">
        <v>1</v>
      </c>
      <c r="AR90" s="384" t="s">
        <v>184</v>
      </c>
      <c r="AS90" s="388">
        <f t="shared" si="98"/>
        <v>1</v>
      </c>
      <c r="AT90">
        <f t="shared" si="99"/>
        <v>1</v>
      </c>
      <c r="AU90" s="388">
        <f>IF(AT90=0,"",IF(AND(AT90=1,M90="F",SUMIF(C2:C112,C90,AS2:AS112)&lt;=1),SUMIF(C2:C112,C90,AS2:AS112),IF(AND(AT90=1,M90="F",SUMIF(C2:C112,C90,AS2:AS112)&gt;1),1,"")))</f>
        <v>1</v>
      </c>
      <c r="AV90" s="388" t="str">
        <f>IF(AT90=0,"",IF(AND(AT90=3,M90="F",SUMIF(C2:C112,C90,AS2:AS112)&lt;=1),SUMIF(C2:C112,C90,AS2:AS112),IF(AND(AT90=3,M90="F",SUMIF(C2:C112,C90,AS2:AS112)&gt;1),1,"")))</f>
        <v/>
      </c>
      <c r="AW90" s="388">
        <f>SUMIF(C2:C112,C90,O2:O112)</f>
        <v>2</v>
      </c>
      <c r="AX90" s="388">
        <f>IF(AND(M90="F",AS90&lt;&gt;0),SUMIF(C2:C112,C90,W2:W112),0)</f>
        <v>54641.599999999999</v>
      </c>
      <c r="AY90" s="388">
        <f t="shared" si="100"/>
        <v>54641.599999999999</v>
      </c>
      <c r="AZ90" s="388" t="str">
        <f t="shared" si="101"/>
        <v/>
      </c>
      <c r="BA90" s="388">
        <f t="shared" si="102"/>
        <v>0</v>
      </c>
      <c r="BB90" s="388">
        <f t="shared" si="71"/>
        <v>12500</v>
      </c>
      <c r="BC90" s="388">
        <f t="shared" si="72"/>
        <v>0</v>
      </c>
      <c r="BD90" s="388">
        <f t="shared" si="73"/>
        <v>3387.7791999999999</v>
      </c>
      <c r="BE90" s="388">
        <f t="shared" si="74"/>
        <v>792.30320000000006</v>
      </c>
      <c r="BF90" s="388">
        <f t="shared" si="75"/>
        <v>6524.2070400000002</v>
      </c>
      <c r="BG90" s="388">
        <f t="shared" si="76"/>
        <v>393.965936</v>
      </c>
      <c r="BH90" s="388">
        <f t="shared" si="77"/>
        <v>0</v>
      </c>
      <c r="BI90" s="388">
        <f t="shared" si="78"/>
        <v>302.44125600000001</v>
      </c>
      <c r="BJ90" s="388">
        <f t="shared" si="79"/>
        <v>415.27616</v>
      </c>
      <c r="BK90" s="388">
        <f t="shared" si="80"/>
        <v>0</v>
      </c>
      <c r="BL90" s="388">
        <f t="shared" si="103"/>
        <v>11815.972792</v>
      </c>
      <c r="BM90" s="388">
        <f t="shared" si="104"/>
        <v>0</v>
      </c>
      <c r="BN90" s="388">
        <f t="shared" si="81"/>
        <v>13750</v>
      </c>
      <c r="BO90" s="388">
        <f t="shared" si="82"/>
        <v>0</v>
      </c>
      <c r="BP90" s="388">
        <f t="shared" si="83"/>
        <v>3387.7791999999999</v>
      </c>
      <c r="BQ90" s="388">
        <f t="shared" si="84"/>
        <v>792.30320000000006</v>
      </c>
      <c r="BR90" s="388">
        <f t="shared" si="85"/>
        <v>6108.9308799999999</v>
      </c>
      <c r="BS90" s="388">
        <f t="shared" si="86"/>
        <v>393.965936</v>
      </c>
      <c r="BT90" s="388">
        <f t="shared" si="87"/>
        <v>0</v>
      </c>
      <c r="BU90" s="388">
        <f t="shared" si="88"/>
        <v>302.44125600000001</v>
      </c>
      <c r="BV90" s="388">
        <f t="shared" si="89"/>
        <v>333.31376</v>
      </c>
      <c r="BW90" s="388">
        <f t="shared" si="90"/>
        <v>0</v>
      </c>
      <c r="BX90" s="388">
        <f t="shared" si="105"/>
        <v>11318.734231999999</v>
      </c>
      <c r="BY90" s="388">
        <f t="shared" si="106"/>
        <v>0</v>
      </c>
      <c r="BZ90" s="388">
        <f t="shared" si="107"/>
        <v>1250</v>
      </c>
      <c r="CA90" s="388">
        <f t="shared" si="108"/>
        <v>0</v>
      </c>
      <c r="CB90" s="388">
        <f t="shared" si="109"/>
        <v>0</v>
      </c>
      <c r="CC90" s="388">
        <f t="shared" si="91"/>
        <v>0</v>
      </c>
      <c r="CD90" s="388">
        <f t="shared" si="92"/>
        <v>-415.27616000000052</v>
      </c>
      <c r="CE90" s="388">
        <f t="shared" si="93"/>
        <v>0</v>
      </c>
      <c r="CF90" s="388">
        <f t="shared" si="94"/>
        <v>0</v>
      </c>
      <c r="CG90" s="388">
        <f t="shared" si="95"/>
        <v>0</v>
      </c>
      <c r="CH90" s="388">
        <f t="shared" si="96"/>
        <v>-81.962399999999974</v>
      </c>
      <c r="CI90" s="388">
        <f t="shared" si="97"/>
        <v>0</v>
      </c>
      <c r="CJ90" s="388">
        <f t="shared" si="110"/>
        <v>-497.23856000000046</v>
      </c>
      <c r="CK90" s="388" t="str">
        <f t="shared" si="111"/>
        <v/>
      </c>
      <c r="CL90" s="388" t="str">
        <f t="shared" si="112"/>
        <v/>
      </c>
      <c r="CM90" s="388" t="str">
        <f t="shared" si="113"/>
        <v/>
      </c>
      <c r="CN90" s="388" t="str">
        <f t="shared" si="114"/>
        <v>0349-00</v>
      </c>
    </row>
    <row r="91" spans="1:92" ht="15.75" thickBot="1">
      <c r="A91" s="377" t="s">
        <v>162</v>
      </c>
      <c r="B91" s="377" t="s">
        <v>163</v>
      </c>
      <c r="C91" s="377" t="s">
        <v>516</v>
      </c>
      <c r="D91" s="377" t="s">
        <v>290</v>
      </c>
      <c r="E91" s="377" t="s">
        <v>500</v>
      </c>
      <c r="F91" s="378" t="s">
        <v>167</v>
      </c>
      <c r="G91" s="377" t="s">
        <v>168</v>
      </c>
      <c r="H91" s="379"/>
      <c r="I91" s="379"/>
      <c r="J91" s="377" t="s">
        <v>169</v>
      </c>
      <c r="K91" s="377" t="s">
        <v>291</v>
      </c>
      <c r="L91" s="377" t="s">
        <v>171</v>
      </c>
      <c r="M91" s="377" t="s">
        <v>189</v>
      </c>
      <c r="N91" s="377" t="s">
        <v>214</v>
      </c>
      <c r="O91" s="380">
        <v>0</v>
      </c>
      <c r="P91" s="386">
        <v>1</v>
      </c>
      <c r="Q91" s="386">
        <v>0</v>
      </c>
      <c r="R91" s="381">
        <v>0</v>
      </c>
      <c r="S91" s="386">
        <v>0</v>
      </c>
      <c r="T91" s="381">
        <v>0</v>
      </c>
      <c r="U91" s="381">
        <v>0</v>
      </c>
      <c r="V91" s="381">
        <v>0</v>
      </c>
      <c r="W91" s="381">
        <v>0</v>
      </c>
      <c r="X91" s="381">
        <v>0</v>
      </c>
      <c r="Y91" s="381">
        <v>0</v>
      </c>
      <c r="Z91" s="381">
        <v>0</v>
      </c>
      <c r="AA91" s="379"/>
      <c r="AB91" s="377" t="s">
        <v>45</v>
      </c>
      <c r="AC91" s="377" t="s">
        <v>45</v>
      </c>
      <c r="AD91" s="379"/>
      <c r="AE91" s="379"/>
      <c r="AF91" s="379"/>
      <c r="AG91" s="379"/>
      <c r="AH91" s="380">
        <v>0</v>
      </c>
      <c r="AI91" s="380">
        <v>0</v>
      </c>
      <c r="AJ91" s="379"/>
      <c r="AK91" s="379"/>
      <c r="AL91" s="377" t="s">
        <v>182</v>
      </c>
      <c r="AM91" s="379"/>
      <c r="AN91" s="379"/>
      <c r="AO91" s="380">
        <v>0</v>
      </c>
      <c r="AP91" s="386">
        <v>0</v>
      </c>
      <c r="AQ91" s="386">
        <v>0</v>
      </c>
      <c r="AR91" s="385"/>
      <c r="AS91" s="388">
        <f t="shared" si="98"/>
        <v>0</v>
      </c>
      <c r="AT91">
        <f t="shared" si="99"/>
        <v>0</v>
      </c>
      <c r="AU91" s="388" t="str">
        <f>IF(AT91=0,"",IF(AND(AT91=1,M91="F",SUMIF(C2:C112,C91,AS2:AS112)&lt;=1),SUMIF(C2:C112,C91,AS2:AS112),IF(AND(AT91=1,M91="F",SUMIF(C2:C112,C91,AS2:AS112)&gt;1),1,"")))</f>
        <v/>
      </c>
      <c r="AV91" s="388" t="str">
        <f>IF(AT91=0,"",IF(AND(AT91=3,M91="F",SUMIF(C2:C112,C91,AS2:AS112)&lt;=1),SUMIF(C2:C112,C91,AS2:AS112),IF(AND(AT91=3,M91="F",SUMIF(C2:C112,C91,AS2:AS112)&gt;1),1,"")))</f>
        <v/>
      </c>
      <c r="AW91" s="388">
        <f>SUMIF(C2:C112,C91,O2:O112)</f>
        <v>0</v>
      </c>
      <c r="AX91" s="388">
        <f>IF(AND(M91="F",AS91&lt;&gt;0),SUMIF(C2:C112,C91,W2:W112),0)</f>
        <v>0</v>
      </c>
      <c r="AY91" s="388" t="str">
        <f t="shared" si="100"/>
        <v/>
      </c>
      <c r="AZ91" s="388" t="str">
        <f t="shared" si="101"/>
        <v/>
      </c>
      <c r="BA91" s="388">
        <f t="shared" si="102"/>
        <v>0</v>
      </c>
      <c r="BB91" s="388">
        <f t="shared" si="71"/>
        <v>0</v>
      </c>
      <c r="BC91" s="388">
        <f t="shared" si="72"/>
        <v>0</v>
      </c>
      <c r="BD91" s="388">
        <f t="shared" si="73"/>
        <v>0</v>
      </c>
      <c r="BE91" s="388">
        <f t="shared" si="74"/>
        <v>0</v>
      </c>
      <c r="BF91" s="388">
        <f t="shared" si="75"/>
        <v>0</v>
      </c>
      <c r="BG91" s="388">
        <f t="shared" si="76"/>
        <v>0</v>
      </c>
      <c r="BH91" s="388">
        <f t="shared" si="77"/>
        <v>0</v>
      </c>
      <c r="BI91" s="388">
        <f t="shared" si="78"/>
        <v>0</v>
      </c>
      <c r="BJ91" s="388">
        <f t="shared" si="79"/>
        <v>0</v>
      </c>
      <c r="BK91" s="388">
        <f t="shared" si="80"/>
        <v>0</v>
      </c>
      <c r="BL91" s="388">
        <f t="shared" si="103"/>
        <v>0</v>
      </c>
      <c r="BM91" s="388">
        <f t="shared" si="104"/>
        <v>0</v>
      </c>
      <c r="BN91" s="388">
        <f t="shared" si="81"/>
        <v>0</v>
      </c>
      <c r="BO91" s="388">
        <f t="shared" si="82"/>
        <v>0</v>
      </c>
      <c r="BP91" s="388">
        <f t="shared" si="83"/>
        <v>0</v>
      </c>
      <c r="BQ91" s="388">
        <f t="shared" si="84"/>
        <v>0</v>
      </c>
      <c r="BR91" s="388">
        <f t="shared" si="85"/>
        <v>0</v>
      </c>
      <c r="BS91" s="388">
        <f t="shared" si="86"/>
        <v>0</v>
      </c>
      <c r="BT91" s="388">
        <f t="shared" si="87"/>
        <v>0</v>
      </c>
      <c r="BU91" s="388">
        <f t="shared" si="88"/>
        <v>0</v>
      </c>
      <c r="BV91" s="388">
        <f t="shared" si="89"/>
        <v>0</v>
      </c>
      <c r="BW91" s="388">
        <f t="shared" si="90"/>
        <v>0</v>
      </c>
      <c r="BX91" s="388">
        <f t="shared" si="105"/>
        <v>0</v>
      </c>
      <c r="BY91" s="388">
        <f t="shared" si="106"/>
        <v>0</v>
      </c>
      <c r="BZ91" s="388">
        <f t="shared" si="107"/>
        <v>0</v>
      </c>
      <c r="CA91" s="388">
        <f t="shared" si="108"/>
        <v>0</v>
      </c>
      <c r="CB91" s="388">
        <f t="shared" si="109"/>
        <v>0</v>
      </c>
      <c r="CC91" s="388">
        <f t="shared" si="91"/>
        <v>0</v>
      </c>
      <c r="CD91" s="388">
        <f t="shared" si="92"/>
        <v>0</v>
      </c>
      <c r="CE91" s="388">
        <f t="shared" si="93"/>
        <v>0</v>
      </c>
      <c r="CF91" s="388">
        <f t="shared" si="94"/>
        <v>0</v>
      </c>
      <c r="CG91" s="388">
        <f t="shared" si="95"/>
        <v>0</v>
      </c>
      <c r="CH91" s="388">
        <f t="shared" si="96"/>
        <v>0</v>
      </c>
      <c r="CI91" s="388">
        <f t="shared" si="97"/>
        <v>0</v>
      </c>
      <c r="CJ91" s="388">
        <f t="shared" si="110"/>
        <v>0</v>
      </c>
      <c r="CK91" s="388" t="str">
        <f t="shared" si="111"/>
        <v/>
      </c>
      <c r="CL91" s="388">
        <f t="shared" si="112"/>
        <v>0</v>
      </c>
      <c r="CM91" s="388">
        <f t="shared" si="113"/>
        <v>0</v>
      </c>
      <c r="CN91" s="388" t="str">
        <f t="shared" si="114"/>
        <v>0349-00</v>
      </c>
    </row>
    <row r="92" spans="1:92" ht="15.75" thickBot="1">
      <c r="A92" s="377" t="s">
        <v>162</v>
      </c>
      <c r="B92" s="377" t="s">
        <v>163</v>
      </c>
      <c r="C92" s="377" t="s">
        <v>517</v>
      </c>
      <c r="D92" s="377" t="s">
        <v>391</v>
      </c>
      <c r="E92" s="377" t="s">
        <v>500</v>
      </c>
      <c r="F92" s="378" t="s">
        <v>167</v>
      </c>
      <c r="G92" s="377" t="s">
        <v>168</v>
      </c>
      <c r="H92" s="379"/>
      <c r="I92" s="379"/>
      <c r="J92" s="377" t="s">
        <v>169</v>
      </c>
      <c r="K92" s="377" t="s">
        <v>392</v>
      </c>
      <c r="L92" s="377" t="s">
        <v>179</v>
      </c>
      <c r="M92" s="377" t="s">
        <v>172</v>
      </c>
      <c r="N92" s="377" t="s">
        <v>173</v>
      </c>
      <c r="O92" s="380">
        <v>1</v>
      </c>
      <c r="P92" s="386">
        <v>1</v>
      </c>
      <c r="Q92" s="386">
        <v>1</v>
      </c>
      <c r="R92" s="381">
        <v>80</v>
      </c>
      <c r="S92" s="386">
        <v>1</v>
      </c>
      <c r="T92" s="381">
        <v>37254.199999999997</v>
      </c>
      <c r="U92" s="381">
        <v>0</v>
      </c>
      <c r="V92" s="381">
        <v>21388.32</v>
      </c>
      <c r="W92" s="381">
        <v>42244.800000000003</v>
      </c>
      <c r="X92" s="381">
        <v>21635.4</v>
      </c>
      <c r="Y92" s="381">
        <v>42244.800000000003</v>
      </c>
      <c r="Z92" s="381">
        <v>22500.97</v>
      </c>
      <c r="AA92" s="377" t="s">
        <v>518</v>
      </c>
      <c r="AB92" s="377" t="s">
        <v>519</v>
      </c>
      <c r="AC92" s="377" t="s">
        <v>520</v>
      </c>
      <c r="AD92" s="377" t="s">
        <v>197</v>
      </c>
      <c r="AE92" s="377" t="s">
        <v>392</v>
      </c>
      <c r="AF92" s="377" t="s">
        <v>210</v>
      </c>
      <c r="AG92" s="377" t="s">
        <v>179</v>
      </c>
      <c r="AH92" s="382">
        <v>20.309999999999999</v>
      </c>
      <c r="AI92" s="380">
        <v>3151</v>
      </c>
      <c r="AJ92" s="377" t="s">
        <v>180</v>
      </c>
      <c r="AK92" s="377" t="s">
        <v>181</v>
      </c>
      <c r="AL92" s="377" t="s">
        <v>182</v>
      </c>
      <c r="AM92" s="377" t="s">
        <v>183</v>
      </c>
      <c r="AN92" s="377" t="s">
        <v>66</v>
      </c>
      <c r="AO92" s="380">
        <v>80</v>
      </c>
      <c r="AP92" s="386">
        <v>1</v>
      </c>
      <c r="AQ92" s="386">
        <v>1</v>
      </c>
      <c r="AR92" s="384" t="s">
        <v>184</v>
      </c>
      <c r="AS92" s="388">
        <f t="shared" si="98"/>
        <v>1</v>
      </c>
      <c r="AT92">
        <f t="shared" si="99"/>
        <v>1</v>
      </c>
      <c r="AU92" s="388">
        <f>IF(AT92=0,"",IF(AND(AT92=1,M92="F",SUMIF(C2:C112,C92,AS2:AS112)&lt;=1),SUMIF(C2:C112,C92,AS2:AS112),IF(AND(AT92=1,M92="F",SUMIF(C2:C112,C92,AS2:AS112)&gt;1),1,"")))</f>
        <v>1</v>
      </c>
      <c r="AV92" s="388" t="str">
        <f>IF(AT92=0,"",IF(AND(AT92=3,M92="F",SUMIF(C2:C112,C92,AS2:AS112)&lt;=1),SUMIF(C2:C112,C92,AS2:AS112),IF(AND(AT92=3,M92="F",SUMIF(C2:C112,C92,AS2:AS112)&gt;1),1,"")))</f>
        <v/>
      </c>
      <c r="AW92" s="388">
        <f>SUMIF(C2:C112,C92,O2:O112)</f>
        <v>1</v>
      </c>
      <c r="AX92" s="388">
        <f>IF(AND(M92="F",AS92&lt;&gt;0),SUMIF(C2:C112,C92,W2:W112),0)</f>
        <v>42244.800000000003</v>
      </c>
      <c r="AY92" s="388">
        <f t="shared" si="100"/>
        <v>42244.800000000003</v>
      </c>
      <c r="AZ92" s="388" t="str">
        <f t="shared" si="101"/>
        <v/>
      </c>
      <c r="BA92" s="388">
        <f t="shared" si="102"/>
        <v>0</v>
      </c>
      <c r="BB92" s="388">
        <f t="shared" si="71"/>
        <v>12500</v>
      </c>
      <c r="BC92" s="388">
        <f t="shared" si="72"/>
        <v>0</v>
      </c>
      <c r="BD92" s="388">
        <f t="shared" si="73"/>
        <v>2619.1776</v>
      </c>
      <c r="BE92" s="388">
        <f t="shared" si="74"/>
        <v>612.54960000000005</v>
      </c>
      <c r="BF92" s="388">
        <f t="shared" si="75"/>
        <v>5044.0291200000011</v>
      </c>
      <c r="BG92" s="388">
        <f t="shared" si="76"/>
        <v>304.58500800000002</v>
      </c>
      <c r="BH92" s="388">
        <f t="shared" si="77"/>
        <v>0</v>
      </c>
      <c r="BI92" s="388">
        <f t="shared" si="78"/>
        <v>233.82496800000001</v>
      </c>
      <c r="BJ92" s="388">
        <f t="shared" si="79"/>
        <v>321.06048000000004</v>
      </c>
      <c r="BK92" s="388">
        <f t="shared" si="80"/>
        <v>0</v>
      </c>
      <c r="BL92" s="388">
        <f t="shared" si="103"/>
        <v>9135.2267760000013</v>
      </c>
      <c r="BM92" s="388">
        <f t="shared" si="104"/>
        <v>0</v>
      </c>
      <c r="BN92" s="388">
        <f t="shared" si="81"/>
        <v>13750</v>
      </c>
      <c r="BO92" s="388">
        <f t="shared" si="82"/>
        <v>0</v>
      </c>
      <c r="BP92" s="388">
        <f t="shared" si="83"/>
        <v>2619.1776</v>
      </c>
      <c r="BQ92" s="388">
        <f t="shared" si="84"/>
        <v>612.54960000000005</v>
      </c>
      <c r="BR92" s="388">
        <f t="shared" si="85"/>
        <v>4722.9686400000001</v>
      </c>
      <c r="BS92" s="388">
        <f t="shared" si="86"/>
        <v>304.58500800000002</v>
      </c>
      <c r="BT92" s="388">
        <f t="shared" si="87"/>
        <v>0</v>
      </c>
      <c r="BU92" s="388">
        <f t="shared" si="88"/>
        <v>233.82496800000001</v>
      </c>
      <c r="BV92" s="388">
        <f t="shared" si="89"/>
        <v>257.69328000000002</v>
      </c>
      <c r="BW92" s="388">
        <f t="shared" si="90"/>
        <v>0</v>
      </c>
      <c r="BX92" s="388">
        <f t="shared" si="105"/>
        <v>8750.7990960000006</v>
      </c>
      <c r="BY92" s="388">
        <f t="shared" si="106"/>
        <v>0</v>
      </c>
      <c r="BZ92" s="388">
        <f t="shared" si="107"/>
        <v>1250</v>
      </c>
      <c r="CA92" s="388">
        <f t="shared" si="108"/>
        <v>0</v>
      </c>
      <c r="CB92" s="388">
        <f t="shared" si="109"/>
        <v>0</v>
      </c>
      <c r="CC92" s="388">
        <f t="shared" si="91"/>
        <v>0</v>
      </c>
      <c r="CD92" s="388">
        <f t="shared" si="92"/>
        <v>-321.06048000000044</v>
      </c>
      <c r="CE92" s="388">
        <f t="shared" si="93"/>
        <v>0</v>
      </c>
      <c r="CF92" s="388">
        <f t="shared" si="94"/>
        <v>0</v>
      </c>
      <c r="CG92" s="388">
        <f t="shared" si="95"/>
        <v>0</v>
      </c>
      <c r="CH92" s="388">
        <f t="shared" si="96"/>
        <v>-63.36719999999999</v>
      </c>
      <c r="CI92" s="388">
        <f t="shared" si="97"/>
        <v>0</v>
      </c>
      <c r="CJ92" s="388">
        <f t="shared" si="110"/>
        <v>-384.42768000000041</v>
      </c>
      <c r="CK92" s="388" t="str">
        <f t="shared" si="111"/>
        <v/>
      </c>
      <c r="CL92" s="388" t="str">
        <f t="shared" si="112"/>
        <v/>
      </c>
      <c r="CM92" s="388" t="str">
        <f t="shared" si="113"/>
        <v/>
      </c>
      <c r="CN92" s="388" t="str">
        <f t="shared" si="114"/>
        <v>0349-00</v>
      </c>
    </row>
    <row r="93" spans="1:92" ht="15.75" thickBot="1">
      <c r="A93" s="377" t="s">
        <v>162</v>
      </c>
      <c r="B93" s="377" t="s">
        <v>163</v>
      </c>
      <c r="C93" s="377" t="s">
        <v>521</v>
      </c>
      <c r="D93" s="377" t="s">
        <v>522</v>
      </c>
      <c r="E93" s="377" t="s">
        <v>500</v>
      </c>
      <c r="F93" s="378" t="s">
        <v>167</v>
      </c>
      <c r="G93" s="377" t="s">
        <v>168</v>
      </c>
      <c r="H93" s="379"/>
      <c r="I93" s="379"/>
      <c r="J93" s="377" t="s">
        <v>169</v>
      </c>
      <c r="K93" s="377" t="s">
        <v>523</v>
      </c>
      <c r="L93" s="377" t="s">
        <v>177</v>
      </c>
      <c r="M93" s="377" t="s">
        <v>189</v>
      </c>
      <c r="N93" s="377" t="s">
        <v>214</v>
      </c>
      <c r="O93" s="380">
        <v>0</v>
      </c>
      <c r="P93" s="386">
        <v>1</v>
      </c>
      <c r="Q93" s="386">
        <v>0</v>
      </c>
      <c r="R93" s="381">
        <v>0</v>
      </c>
      <c r="S93" s="386">
        <v>0</v>
      </c>
      <c r="T93" s="381">
        <v>0</v>
      </c>
      <c r="U93" s="381">
        <v>0</v>
      </c>
      <c r="V93" s="381">
        <v>0</v>
      </c>
      <c r="W93" s="381">
        <v>0</v>
      </c>
      <c r="X93" s="381">
        <v>0</v>
      </c>
      <c r="Y93" s="381">
        <v>0</v>
      </c>
      <c r="Z93" s="381">
        <v>0</v>
      </c>
      <c r="AA93" s="379"/>
      <c r="AB93" s="377" t="s">
        <v>45</v>
      </c>
      <c r="AC93" s="377" t="s">
        <v>45</v>
      </c>
      <c r="AD93" s="379"/>
      <c r="AE93" s="379"/>
      <c r="AF93" s="379"/>
      <c r="AG93" s="379"/>
      <c r="AH93" s="380">
        <v>0</v>
      </c>
      <c r="AI93" s="380">
        <v>0</v>
      </c>
      <c r="AJ93" s="379"/>
      <c r="AK93" s="379"/>
      <c r="AL93" s="377" t="s">
        <v>182</v>
      </c>
      <c r="AM93" s="379"/>
      <c r="AN93" s="379"/>
      <c r="AO93" s="380">
        <v>0</v>
      </c>
      <c r="AP93" s="386">
        <v>0</v>
      </c>
      <c r="AQ93" s="386">
        <v>0</v>
      </c>
      <c r="AR93" s="385"/>
      <c r="AS93" s="388">
        <f t="shared" si="98"/>
        <v>0</v>
      </c>
      <c r="AT93">
        <f t="shared" si="99"/>
        <v>0</v>
      </c>
      <c r="AU93" s="388" t="str">
        <f>IF(AT93=0,"",IF(AND(AT93=1,M93="F",SUMIF(C2:C112,C93,AS2:AS112)&lt;=1),SUMIF(C2:C112,C93,AS2:AS112),IF(AND(AT93=1,M93="F",SUMIF(C2:C112,C93,AS2:AS112)&gt;1),1,"")))</f>
        <v/>
      </c>
      <c r="AV93" s="388" t="str">
        <f>IF(AT93=0,"",IF(AND(AT93=3,M93="F",SUMIF(C2:C112,C93,AS2:AS112)&lt;=1),SUMIF(C2:C112,C93,AS2:AS112),IF(AND(AT93=3,M93="F",SUMIF(C2:C112,C93,AS2:AS112)&gt;1),1,"")))</f>
        <v/>
      </c>
      <c r="AW93" s="388">
        <f>SUMIF(C2:C112,C93,O2:O112)</f>
        <v>0</v>
      </c>
      <c r="AX93" s="388">
        <f>IF(AND(M93="F",AS93&lt;&gt;0),SUMIF(C2:C112,C93,W2:W112),0)</f>
        <v>0</v>
      </c>
      <c r="AY93" s="388" t="str">
        <f t="shared" si="100"/>
        <v/>
      </c>
      <c r="AZ93" s="388" t="str">
        <f t="shared" si="101"/>
        <v/>
      </c>
      <c r="BA93" s="388">
        <f t="shared" si="102"/>
        <v>0</v>
      </c>
      <c r="BB93" s="388">
        <f t="shared" si="71"/>
        <v>0</v>
      </c>
      <c r="BC93" s="388">
        <f t="shared" si="72"/>
        <v>0</v>
      </c>
      <c r="BD93" s="388">
        <f t="shared" si="73"/>
        <v>0</v>
      </c>
      <c r="BE93" s="388">
        <f t="shared" si="74"/>
        <v>0</v>
      </c>
      <c r="BF93" s="388">
        <f t="shared" si="75"/>
        <v>0</v>
      </c>
      <c r="BG93" s="388">
        <f t="shared" si="76"/>
        <v>0</v>
      </c>
      <c r="BH93" s="388">
        <f t="shared" si="77"/>
        <v>0</v>
      </c>
      <c r="BI93" s="388">
        <f t="shared" si="78"/>
        <v>0</v>
      </c>
      <c r="BJ93" s="388">
        <f t="shared" si="79"/>
        <v>0</v>
      </c>
      <c r="BK93" s="388">
        <f t="shared" si="80"/>
        <v>0</v>
      </c>
      <c r="BL93" s="388">
        <f t="shared" si="103"/>
        <v>0</v>
      </c>
      <c r="BM93" s="388">
        <f t="shared" si="104"/>
        <v>0</v>
      </c>
      <c r="BN93" s="388">
        <f t="shared" si="81"/>
        <v>0</v>
      </c>
      <c r="BO93" s="388">
        <f t="shared" si="82"/>
        <v>0</v>
      </c>
      <c r="BP93" s="388">
        <f t="shared" si="83"/>
        <v>0</v>
      </c>
      <c r="BQ93" s="388">
        <f t="shared" si="84"/>
        <v>0</v>
      </c>
      <c r="BR93" s="388">
        <f t="shared" si="85"/>
        <v>0</v>
      </c>
      <c r="BS93" s="388">
        <f t="shared" si="86"/>
        <v>0</v>
      </c>
      <c r="BT93" s="388">
        <f t="shared" si="87"/>
        <v>0</v>
      </c>
      <c r="BU93" s="388">
        <f t="shared" si="88"/>
        <v>0</v>
      </c>
      <c r="BV93" s="388">
        <f t="shared" si="89"/>
        <v>0</v>
      </c>
      <c r="BW93" s="388">
        <f t="shared" si="90"/>
        <v>0</v>
      </c>
      <c r="BX93" s="388">
        <f t="shared" si="105"/>
        <v>0</v>
      </c>
      <c r="BY93" s="388">
        <f t="shared" si="106"/>
        <v>0</v>
      </c>
      <c r="BZ93" s="388">
        <f t="shared" si="107"/>
        <v>0</v>
      </c>
      <c r="CA93" s="388">
        <f t="shared" si="108"/>
        <v>0</v>
      </c>
      <c r="CB93" s="388">
        <f t="shared" si="109"/>
        <v>0</v>
      </c>
      <c r="CC93" s="388">
        <f t="shared" si="91"/>
        <v>0</v>
      </c>
      <c r="CD93" s="388">
        <f t="shared" si="92"/>
        <v>0</v>
      </c>
      <c r="CE93" s="388">
        <f t="shared" si="93"/>
        <v>0</v>
      </c>
      <c r="CF93" s="388">
        <f t="shared" si="94"/>
        <v>0</v>
      </c>
      <c r="CG93" s="388">
        <f t="shared" si="95"/>
        <v>0</v>
      </c>
      <c r="CH93" s="388">
        <f t="shared" si="96"/>
        <v>0</v>
      </c>
      <c r="CI93" s="388">
        <f t="shared" si="97"/>
        <v>0</v>
      </c>
      <c r="CJ93" s="388">
        <f t="shared" si="110"/>
        <v>0</v>
      </c>
      <c r="CK93" s="388" t="str">
        <f t="shared" si="111"/>
        <v/>
      </c>
      <c r="CL93" s="388">
        <f t="shared" si="112"/>
        <v>0</v>
      </c>
      <c r="CM93" s="388">
        <f t="shared" si="113"/>
        <v>0</v>
      </c>
      <c r="CN93" s="388" t="str">
        <f t="shared" si="114"/>
        <v>0349-00</v>
      </c>
    </row>
    <row r="94" spans="1:92" ht="15.75" thickBot="1">
      <c r="A94" s="377" t="s">
        <v>162</v>
      </c>
      <c r="B94" s="377" t="s">
        <v>163</v>
      </c>
      <c r="C94" s="377" t="s">
        <v>322</v>
      </c>
      <c r="D94" s="377" t="s">
        <v>323</v>
      </c>
      <c r="E94" s="377" t="s">
        <v>500</v>
      </c>
      <c r="F94" s="378" t="s">
        <v>167</v>
      </c>
      <c r="G94" s="377" t="s">
        <v>168</v>
      </c>
      <c r="H94" s="379"/>
      <c r="I94" s="379"/>
      <c r="J94" s="377" t="s">
        <v>169</v>
      </c>
      <c r="K94" s="377" t="s">
        <v>324</v>
      </c>
      <c r="L94" s="377" t="s">
        <v>188</v>
      </c>
      <c r="M94" s="377" t="s">
        <v>172</v>
      </c>
      <c r="N94" s="377" t="s">
        <v>173</v>
      </c>
      <c r="O94" s="380">
        <v>1</v>
      </c>
      <c r="P94" s="386">
        <v>0</v>
      </c>
      <c r="Q94" s="386">
        <v>0</v>
      </c>
      <c r="R94" s="381">
        <v>80</v>
      </c>
      <c r="S94" s="386">
        <v>0</v>
      </c>
      <c r="T94" s="381">
        <v>0</v>
      </c>
      <c r="U94" s="381">
        <v>0</v>
      </c>
      <c r="V94" s="381">
        <v>40.69</v>
      </c>
      <c r="W94" s="381">
        <v>0</v>
      </c>
      <c r="X94" s="381">
        <v>0</v>
      </c>
      <c r="Y94" s="381">
        <v>0</v>
      </c>
      <c r="Z94" s="381">
        <v>0</v>
      </c>
      <c r="AA94" s="377" t="s">
        <v>325</v>
      </c>
      <c r="AB94" s="377" t="s">
        <v>273</v>
      </c>
      <c r="AC94" s="377" t="s">
        <v>326</v>
      </c>
      <c r="AD94" s="377" t="s">
        <v>188</v>
      </c>
      <c r="AE94" s="377" t="s">
        <v>324</v>
      </c>
      <c r="AF94" s="377" t="s">
        <v>198</v>
      </c>
      <c r="AG94" s="377" t="s">
        <v>179</v>
      </c>
      <c r="AH94" s="382">
        <v>29.32</v>
      </c>
      <c r="AI94" s="382">
        <v>26924.5</v>
      </c>
      <c r="AJ94" s="377" t="s">
        <v>180</v>
      </c>
      <c r="AK94" s="377" t="s">
        <v>181</v>
      </c>
      <c r="AL94" s="377" t="s">
        <v>182</v>
      </c>
      <c r="AM94" s="377" t="s">
        <v>183</v>
      </c>
      <c r="AN94" s="377" t="s">
        <v>66</v>
      </c>
      <c r="AO94" s="380">
        <v>80</v>
      </c>
      <c r="AP94" s="386">
        <v>1</v>
      </c>
      <c r="AQ94" s="386">
        <v>0</v>
      </c>
      <c r="AR94" s="384" t="s">
        <v>184</v>
      </c>
      <c r="AS94" s="388">
        <f t="shared" si="98"/>
        <v>0</v>
      </c>
      <c r="AT94">
        <f t="shared" si="99"/>
        <v>0</v>
      </c>
      <c r="AU94" s="388" t="str">
        <f>IF(AT94=0,"",IF(AND(AT94=1,M94="F",SUMIF(C2:C112,C94,AS2:AS112)&lt;=1),SUMIF(C2:C112,C94,AS2:AS112),IF(AND(AT94=1,M94="F",SUMIF(C2:C112,C94,AS2:AS112)&gt;1),1,"")))</f>
        <v/>
      </c>
      <c r="AV94" s="388" t="str">
        <f>IF(AT94=0,"",IF(AND(AT94=3,M94="F",SUMIF(C2:C112,C94,AS2:AS112)&lt;=1),SUMIF(C2:C112,C94,AS2:AS112),IF(AND(AT94=3,M94="F",SUMIF(C2:C112,C94,AS2:AS112)&gt;1),1,"")))</f>
        <v/>
      </c>
      <c r="AW94" s="388">
        <f>SUMIF(C2:C112,C94,O2:O112)</f>
        <v>2</v>
      </c>
      <c r="AX94" s="388">
        <f>IF(AND(M94="F",AS94&lt;&gt;0),SUMIF(C2:C112,C94,W2:W112),0)</f>
        <v>0</v>
      </c>
      <c r="AY94" s="388" t="str">
        <f t="shared" si="100"/>
        <v/>
      </c>
      <c r="AZ94" s="388" t="str">
        <f t="shared" si="101"/>
        <v/>
      </c>
      <c r="BA94" s="388">
        <f t="shared" si="102"/>
        <v>0</v>
      </c>
      <c r="BB94" s="388">
        <f t="shared" si="71"/>
        <v>0</v>
      </c>
      <c r="BC94" s="388">
        <f t="shared" si="72"/>
        <v>0</v>
      </c>
      <c r="BD94" s="388">
        <f t="shared" si="73"/>
        <v>0</v>
      </c>
      <c r="BE94" s="388">
        <f t="shared" si="74"/>
        <v>0</v>
      </c>
      <c r="BF94" s="388">
        <f t="shared" si="75"/>
        <v>0</v>
      </c>
      <c r="BG94" s="388">
        <f t="shared" si="76"/>
        <v>0</v>
      </c>
      <c r="BH94" s="388">
        <f t="shared" si="77"/>
        <v>0</v>
      </c>
      <c r="BI94" s="388">
        <f t="shared" si="78"/>
        <v>0</v>
      </c>
      <c r="BJ94" s="388">
        <f t="shared" si="79"/>
        <v>0</v>
      </c>
      <c r="BK94" s="388">
        <f t="shared" si="80"/>
        <v>0</v>
      </c>
      <c r="BL94" s="388">
        <f t="shared" si="103"/>
        <v>0</v>
      </c>
      <c r="BM94" s="388">
        <f t="shared" si="104"/>
        <v>0</v>
      </c>
      <c r="BN94" s="388">
        <f t="shared" si="81"/>
        <v>0</v>
      </c>
      <c r="BO94" s="388">
        <f t="shared" si="82"/>
        <v>0</v>
      </c>
      <c r="BP94" s="388">
        <f t="shared" si="83"/>
        <v>0</v>
      </c>
      <c r="BQ94" s="388">
        <f t="shared" si="84"/>
        <v>0</v>
      </c>
      <c r="BR94" s="388">
        <f t="shared" si="85"/>
        <v>0</v>
      </c>
      <c r="BS94" s="388">
        <f t="shared" si="86"/>
        <v>0</v>
      </c>
      <c r="BT94" s="388">
        <f t="shared" si="87"/>
        <v>0</v>
      </c>
      <c r="BU94" s="388">
        <f t="shared" si="88"/>
        <v>0</v>
      </c>
      <c r="BV94" s="388">
        <f t="shared" si="89"/>
        <v>0</v>
      </c>
      <c r="BW94" s="388">
        <f t="shared" si="90"/>
        <v>0</v>
      </c>
      <c r="BX94" s="388">
        <f t="shared" si="105"/>
        <v>0</v>
      </c>
      <c r="BY94" s="388">
        <f t="shared" si="106"/>
        <v>0</v>
      </c>
      <c r="BZ94" s="388">
        <f t="shared" si="107"/>
        <v>0</v>
      </c>
      <c r="CA94" s="388">
        <f t="shared" si="108"/>
        <v>0</v>
      </c>
      <c r="CB94" s="388">
        <f t="shared" si="109"/>
        <v>0</v>
      </c>
      <c r="CC94" s="388">
        <f t="shared" si="91"/>
        <v>0</v>
      </c>
      <c r="CD94" s="388">
        <f t="shared" si="92"/>
        <v>0</v>
      </c>
      <c r="CE94" s="388">
        <f t="shared" si="93"/>
        <v>0</v>
      </c>
      <c r="CF94" s="388">
        <f t="shared" si="94"/>
        <v>0</v>
      </c>
      <c r="CG94" s="388">
        <f t="shared" si="95"/>
        <v>0</v>
      </c>
      <c r="CH94" s="388">
        <f t="shared" si="96"/>
        <v>0</v>
      </c>
      <c r="CI94" s="388">
        <f t="shared" si="97"/>
        <v>0</v>
      </c>
      <c r="CJ94" s="388">
        <f t="shared" si="110"/>
        <v>0</v>
      </c>
      <c r="CK94" s="388" t="str">
        <f t="shared" si="111"/>
        <v/>
      </c>
      <c r="CL94" s="388" t="str">
        <f t="shared" si="112"/>
        <v/>
      </c>
      <c r="CM94" s="388" t="str">
        <f t="shared" si="113"/>
        <v/>
      </c>
      <c r="CN94" s="388" t="str">
        <f t="shared" si="114"/>
        <v>0349-00</v>
      </c>
    </row>
    <row r="95" spans="1:92" ht="15.75" thickBot="1">
      <c r="A95" s="377" t="s">
        <v>162</v>
      </c>
      <c r="B95" s="377" t="s">
        <v>163</v>
      </c>
      <c r="C95" s="377" t="s">
        <v>390</v>
      </c>
      <c r="D95" s="377" t="s">
        <v>391</v>
      </c>
      <c r="E95" s="377" t="s">
        <v>500</v>
      </c>
      <c r="F95" s="378" t="s">
        <v>167</v>
      </c>
      <c r="G95" s="377" t="s">
        <v>168</v>
      </c>
      <c r="H95" s="379"/>
      <c r="I95" s="379"/>
      <c r="J95" s="377" t="s">
        <v>169</v>
      </c>
      <c r="K95" s="377" t="s">
        <v>392</v>
      </c>
      <c r="L95" s="377" t="s">
        <v>179</v>
      </c>
      <c r="M95" s="377" t="s">
        <v>172</v>
      </c>
      <c r="N95" s="377" t="s">
        <v>173</v>
      </c>
      <c r="O95" s="380">
        <v>1</v>
      </c>
      <c r="P95" s="386">
        <v>1</v>
      </c>
      <c r="Q95" s="386">
        <v>1</v>
      </c>
      <c r="R95" s="381">
        <v>80</v>
      </c>
      <c r="S95" s="386">
        <v>1</v>
      </c>
      <c r="T95" s="381">
        <v>30633.21</v>
      </c>
      <c r="U95" s="381">
        <v>42</v>
      </c>
      <c r="V95" s="381">
        <v>17347.330000000002</v>
      </c>
      <c r="W95" s="381">
        <v>42244.800000000003</v>
      </c>
      <c r="X95" s="381">
        <v>21635.4</v>
      </c>
      <c r="Y95" s="381">
        <v>42244.800000000003</v>
      </c>
      <c r="Z95" s="381">
        <v>22500.97</v>
      </c>
      <c r="AA95" s="377" t="s">
        <v>393</v>
      </c>
      <c r="AB95" s="377" t="s">
        <v>394</v>
      </c>
      <c r="AC95" s="377" t="s">
        <v>395</v>
      </c>
      <c r="AD95" s="377" t="s">
        <v>396</v>
      </c>
      <c r="AE95" s="377" t="s">
        <v>392</v>
      </c>
      <c r="AF95" s="377" t="s">
        <v>210</v>
      </c>
      <c r="AG95" s="377" t="s">
        <v>179</v>
      </c>
      <c r="AH95" s="382">
        <v>20.309999999999999</v>
      </c>
      <c r="AI95" s="382">
        <v>3433.2</v>
      </c>
      <c r="AJ95" s="377" t="s">
        <v>180</v>
      </c>
      <c r="AK95" s="377" t="s">
        <v>181</v>
      </c>
      <c r="AL95" s="377" t="s">
        <v>182</v>
      </c>
      <c r="AM95" s="377" t="s">
        <v>183</v>
      </c>
      <c r="AN95" s="377" t="s">
        <v>66</v>
      </c>
      <c r="AO95" s="380">
        <v>80</v>
      </c>
      <c r="AP95" s="386">
        <v>1</v>
      </c>
      <c r="AQ95" s="386">
        <v>1</v>
      </c>
      <c r="AR95" s="384" t="s">
        <v>184</v>
      </c>
      <c r="AS95" s="388">
        <f t="shared" si="98"/>
        <v>1</v>
      </c>
      <c r="AT95">
        <f t="shared" si="99"/>
        <v>1</v>
      </c>
      <c r="AU95" s="388">
        <f>IF(AT95=0,"",IF(AND(AT95=1,M95="F",SUMIF(C2:C112,C95,AS2:AS112)&lt;=1),SUMIF(C2:C112,C95,AS2:AS112),IF(AND(AT95=1,M95="F",SUMIF(C2:C112,C95,AS2:AS112)&gt;1),1,"")))</f>
        <v>1</v>
      </c>
      <c r="AV95" s="388" t="str">
        <f>IF(AT95=0,"",IF(AND(AT95=3,M95="F",SUMIF(C2:C112,C95,AS2:AS112)&lt;=1),SUMIF(C2:C112,C95,AS2:AS112),IF(AND(AT95=3,M95="F",SUMIF(C2:C112,C95,AS2:AS112)&gt;1),1,"")))</f>
        <v/>
      </c>
      <c r="AW95" s="388">
        <f>SUMIF(C2:C112,C95,O2:O112)</f>
        <v>2</v>
      </c>
      <c r="AX95" s="388">
        <f>IF(AND(M95="F",AS95&lt;&gt;0),SUMIF(C2:C112,C95,W2:W112),0)</f>
        <v>42244.800000000003</v>
      </c>
      <c r="AY95" s="388">
        <f t="shared" si="100"/>
        <v>42244.800000000003</v>
      </c>
      <c r="AZ95" s="388" t="str">
        <f t="shared" si="101"/>
        <v/>
      </c>
      <c r="BA95" s="388">
        <f t="shared" si="102"/>
        <v>0</v>
      </c>
      <c r="BB95" s="388">
        <f t="shared" si="71"/>
        <v>12500</v>
      </c>
      <c r="BC95" s="388">
        <f t="shared" si="72"/>
        <v>0</v>
      </c>
      <c r="BD95" s="388">
        <f t="shared" si="73"/>
        <v>2619.1776</v>
      </c>
      <c r="BE95" s="388">
        <f t="shared" si="74"/>
        <v>612.54960000000005</v>
      </c>
      <c r="BF95" s="388">
        <f t="shared" si="75"/>
        <v>5044.0291200000011</v>
      </c>
      <c r="BG95" s="388">
        <f t="shared" si="76"/>
        <v>304.58500800000002</v>
      </c>
      <c r="BH95" s="388">
        <f t="shared" si="77"/>
        <v>0</v>
      </c>
      <c r="BI95" s="388">
        <f t="shared" si="78"/>
        <v>233.82496800000001</v>
      </c>
      <c r="BJ95" s="388">
        <f t="shared" si="79"/>
        <v>321.06048000000004</v>
      </c>
      <c r="BK95" s="388">
        <f t="shared" si="80"/>
        <v>0</v>
      </c>
      <c r="BL95" s="388">
        <f t="shared" si="103"/>
        <v>9135.2267760000013</v>
      </c>
      <c r="BM95" s="388">
        <f t="shared" si="104"/>
        <v>0</v>
      </c>
      <c r="BN95" s="388">
        <f t="shared" si="81"/>
        <v>13750</v>
      </c>
      <c r="BO95" s="388">
        <f t="shared" si="82"/>
        <v>0</v>
      </c>
      <c r="BP95" s="388">
        <f t="shared" si="83"/>
        <v>2619.1776</v>
      </c>
      <c r="BQ95" s="388">
        <f t="shared" si="84"/>
        <v>612.54960000000005</v>
      </c>
      <c r="BR95" s="388">
        <f t="shared" si="85"/>
        <v>4722.9686400000001</v>
      </c>
      <c r="BS95" s="388">
        <f t="shared" si="86"/>
        <v>304.58500800000002</v>
      </c>
      <c r="BT95" s="388">
        <f t="shared" si="87"/>
        <v>0</v>
      </c>
      <c r="BU95" s="388">
        <f t="shared" si="88"/>
        <v>233.82496800000001</v>
      </c>
      <c r="BV95" s="388">
        <f t="shared" si="89"/>
        <v>257.69328000000002</v>
      </c>
      <c r="BW95" s="388">
        <f t="shared" si="90"/>
        <v>0</v>
      </c>
      <c r="BX95" s="388">
        <f t="shared" si="105"/>
        <v>8750.7990960000006</v>
      </c>
      <c r="BY95" s="388">
        <f t="shared" si="106"/>
        <v>0</v>
      </c>
      <c r="BZ95" s="388">
        <f t="shared" si="107"/>
        <v>1250</v>
      </c>
      <c r="CA95" s="388">
        <f t="shared" si="108"/>
        <v>0</v>
      </c>
      <c r="CB95" s="388">
        <f t="shared" si="109"/>
        <v>0</v>
      </c>
      <c r="CC95" s="388">
        <f t="shared" si="91"/>
        <v>0</v>
      </c>
      <c r="CD95" s="388">
        <f t="shared" si="92"/>
        <v>-321.06048000000044</v>
      </c>
      <c r="CE95" s="388">
        <f t="shared" si="93"/>
        <v>0</v>
      </c>
      <c r="CF95" s="388">
        <f t="shared" si="94"/>
        <v>0</v>
      </c>
      <c r="CG95" s="388">
        <f t="shared" si="95"/>
        <v>0</v>
      </c>
      <c r="CH95" s="388">
        <f t="shared" si="96"/>
        <v>-63.36719999999999</v>
      </c>
      <c r="CI95" s="388">
        <f t="shared" si="97"/>
        <v>0</v>
      </c>
      <c r="CJ95" s="388">
        <f t="shared" si="110"/>
        <v>-384.42768000000041</v>
      </c>
      <c r="CK95" s="388" t="str">
        <f t="shared" si="111"/>
        <v/>
      </c>
      <c r="CL95" s="388" t="str">
        <f t="shared" si="112"/>
        <v/>
      </c>
      <c r="CM95" s="388" t="str">
        <f t="shared" si="113"/>
        <v/>
      </c>
      <c r="CN95" s="388" t="str">
        <f t="shared" si="114"/>
        <v>0349-00</v>
      </c>
    </row>
    <row r="96" spans="1:92" ht="15.75" thickBot="1">
      <c r="A96" s="377" t="s">
        <v>162</v>
      </c>
      <c r="B96" s="377" t="s">
        <v>163</v>
      </c>
      <c r="C96" s="377" t="s">
        <v>441</v>
      </c>
      <c r="D96" s="377" t="s">
        <v>377</v>
      </c>
      <c r="E96" s="377" t="s">
        <v>500</v>
      </c>
      <c r="F96" s="378" t="s">
        <v>167</v>
      </c>
      <c r="G96" s="377" t="s">
        <v>168</v>
      </c>
      <c r="H96" s="379"/>
      <c r="I96" s="379"/>
      <c r="J96" s="377" t="s">
        <v>169</v>
      </c>
      <c r="K96" s="377" t="s">
        <v>378</v>
      </c>
      <c r="L96" s="377" t="s">
        <v>202</v>
      </c>
      <c r="M96" s="377" t="s">
        <v>172</v>
      </c>
      <c r="N96" s="377" t="s">
        <v>214</v>
      </c>
      <c r="O96" s="380">
        <v>0</v>
      </c>
      <c r="P96" s="386">
        <v>0</v>
      </c>
      <c r="Q96" s="386">
        <v>0</v>
      </c>
      <c r="R96" s="381">
        <v>0</v>
      </c>
      <c r="S96" s="386">
        <v>0</v>
      </c>
      <c r="T96" s="381">
        <v>7507.31</v>
      </c>
      <c r="U96" s="381">
        <v>0</v>
      </c>
      <c r="V96" s="381">
        <v>636.84</v>
      </c>
      <c r="W96" s="381">
        <v>0</v>
      </c>
      <c r="X96" s="381">
        <v>0</v>
      </c>
      <c r="Y96" s="381">
        <v>0</v>
      </c>
      <c r="Z96" s="381">
        <v>0</v>
      </c>
      <c r="AA96" s="379"/>
      <c r="AB96" s="377" t="s">
        <v>45</v>
      </c>
      <c r="AC96" s="377" t="s">
        <v>45</v>
      </c>
      <c r="AD96" s="379"/>
      <c r="AE96" s="379"/>
      <c r="AF96" s="379"/>
      <c r="AG96" s="379"/>
      <c r="AH96" s="380">
        <v>0</v>
      </c>
      <c r="AI96" s="380">
        <v>0</v>
      </c>
      <c r="AJ96" s="379"/>
      <c r="AK96" s="379"/>
      <c r="AL96" s="377" t="s">
        <v>182</v>
      </c>
      <c r="AM96" s="379"/>
      <c r="AN96" s="379"/>
      <c r="AO96" s="380">
        <v>0</v>
      </c>
      <c r="AP96" s="386">
        <v>0</v>
      </c>
      <c r="AQ96" s="386">
        <v>0</v>
      </c>
      <c r="AR96" s="385"/>
      <c r="AS96" s="388">
        <f t="shared" si="98"/>
        <v>0</v>
      </c>
      <c r="AT96">
        <f t="shared" si="99"/>
        <v>0</v>
      </c>
      <c r="AU96" s="388" t="str">
        <f>IF(AT96=0,"",IF(AND(AT96=1,M96="F",SUMIF(C2:C112,C96,AS2:AS112)&lt;=1),SUMIF(C2:C112,C96,AS2:AS112),IF(AND(AT96=1,M96="F",SUMIF(C2:C112,C96,AS2:AS112)&gt;1),1,"")))</f>
        <v/>
      </c>
      <c r="AV96" s="388" t="str">
        <f>IF(AT96=0,"",IF(AND(AT96=3,M96="F",SUMIF(C2:C112,C96,AS2:AS112)&lt;=1),SUMIF(C2:C112,C96,AS2:AS112),IF(AND(AT96=3,M96="F",SUMIF(C2:C112,C96,AS2:AS112)&gt;1),1,"")))</f>
        <v/>
      </c>
      <c r="AW96" s="388">
        <f>SUMIF(C2:C112,C96,O2:O112)</f>
        <v>0</v>
      </c>
      <c r="AX96" s="388">
        <f>IF(AND(M96="F",AS96&lt;&gt;0),SUMIF(C2:C112,C96,W2:W112),0)</f>
        <v>0</v>
      </c>
      <c r="AY96" s="388" t="str">
        <f t="shared" si="100"/>
        <v/>
      </c>
      <c r="AZ96" s="388" t="str">
        <f t="shared" si="101"/>
        <v/>
      </c>
      <c r="BA96" s="388">
        <f t="shared" si="102"/>
        <v>0</v>
      </c>
      <c r="BB96" s="388">
        <f t="shared" si="71"/>
        <v>0</v>
      </c>
      <c r="BC96" s="388">
        <f t="shared" si="72"/>
        <v>0</v>
      </c>
      <c r="BD96" s="388">
        <f t="shared" si="73"/>
        <v>0</v>
      </c>
      <c r="BE96" s="388">
        <f t="shared" si="74"/>
        <v>0</v>
      </c>
      <c r="BF96" s="388">
        <f t="shared" si="75"/>
        <v>0</v>
      </c>
      <c r="BG96" s="388">
        <f t="shared" si="76"/>
        <v>0</v>
      </c>
      <c r="BH96" s="388">
        <f t="shared" si="77"/>
        <v>0</v>
      </c>
      <c r="BI96" s="388">
        <f t="shared" si="78"/>
        <v>0</v>
      </c>
      <c r="BJ96" s="388">
        <f t="shared" si="79"/>
        <v>0</v>
      </c>
      <c r="BK96" s="388">
        <f t="shared" si="80"/>
        <v>0</v>
      </c>
      <c r="BL96" s="388">
        <f t="shared" si="103"/>
        <v>0</v>
      </c>
      <c r="BM96" s="388">
        <f t="shared" si="104"/>
        <v>0</v>
      </c>
      <c r="BN96" s="388">
        <f t="shared" si="81"/>
        <v>0</v>
      </c>
      <c r="BO96" s="388">
        <f t="shared" si="82"/>
        <v>0</v>
      </c>
      <c r="BP96" s="388">
        <f t="shared" si="83"/>
        <v>0</v>
      </c>
      <c r="BQ96" s="388">
        <f t="shared" si="84"/>
        <v>0</v>
      </c>
      <c r="BR96" s="388">
        <f t="shared" si="85"/>
        <v>0</v>
      </c>
      <c r="BS96" s="388">
        <f t="shared" si="86"/>
        <v>0</v>
      </c>
      <c r="BT96" s="388">
        <f t="shared" si="87"/>
        <v>0</v>
      </c>
      <c r="BU96" s="388">
        <f t="shared" si="88"/>
        <v>0</v>
      </c>
      <c r="BV96" s="388">
        <f t="shared" si="89"/>
        <v>0</v>
      </c>
      <c r="BW96" s="388">
        <f t="shared" si="90"/>
        <v>0</v>
      </c>
      <c r="BX96" s="388">
        <f t="shared" si="105"/>
        <v>0</v>
      </c>
      <c r="BY96" s="388">
        <f t="shared" si="106"/>
        <v>0</v>
      </c>
      <c r="BZ96" s="388">
        <f t="shared" si="107"/>
        <v>0</v>
      </c>
      <c r="CA96" s="388">
        <f t="shared" si="108"/>
        <v>0</v>
      </c>
      <c r="CB96" s="388">
        <f t="shared" si="109"/>
        <v>0</v>
      </c>
      <c r="CC96" s="388">
        <f t="shared" si="91"/>
        <v>0</v>
      </c>
      <c r="CD96" s="388">
        <f t="shared" si="92"/>
        <v>0</v>
      </c>
      <c r="CE96" s="388">
        <f t="shared" si="93"/>
        <v>0</v>
      </c>
      <c r="CF96" s="388">
        <f t="shared" si="94"/>
        <v>0</v>
      </c>
      <c r="CG96" s="388">
        <f t="shared" si="95"/>
        <v>0</v>
      </c>
      <c r="CH96" s="388">
        <f t="shared" si="96"/>
        <v>0</v>
      </c>
      <c r="CI96" s="388">
        <f t="shared" si="97"/>
        <v>0</v>
      </c>
      <c r="CJ96" s="388">
        <f t="shared" si="110"/>
        <v>0</v>
      </c>
      <c r="CK96" s="388" t="str">
        <f t="shared" si="111"/>
        <v/>
      </c>
      <c r="CL96" s="388">
        <f t="shared" si="112"/>
        <v>7507.31</v>
      </c>
      <c r="CM96" s="388">
        <f t="shared" si="113"/>
        <v>636.84</v>
      </c>
      <c r="CN96" s="388" t="str">
        <f t="shared" si="114"/>
        <v>0349-00</v>
      </c>
    </row>
    <row r="97" spans="1:92" ht="15.75" thickBot="1">
      <c r="A97" s="377" t="s">
        <v>162</v>
      </c>
      <c r="B97" s="377" t="s">
        <v>163</v>
      </c>
      <c r="C97" s="377" t="s">
        <v>409</v>
      </c>
      <c r="D97" s="377" t="s">
        <v>165</v>
      </c>
      <c r="E97" s="377" t="s">
        <v>500</v>
      </c>
      <c r="F97" s="378" t="s">
        <v>167</v>
      </c>
      <c r="G97" s="377" t="s">
        <v>168</v>
      </c>
      <c r="H97" s="379"/>
      <c r="I97" s="379"/>
      <c r="J97" s="377" t="s">
        <v>169</v>
      </c>
      <c r="K97" s="377" t="s">
        <v>170</v>
      </c>
      <c r="L97" s="377" t="s">
        <v>171</v>
      </c>
      <c r="M97" s="377" t="s">
        <v>172</v>
      </c>
      <c r="N97" s="377" t="s">
        <v>173</v>
      </c>
      <c r="O97" s="380">
        <v>1</v>
      </c>
      <c r="P97" s="386">
        <v>0</v>
      </c>
      <c r="Q97" s="386">
        <v>0</v>
      </c>
      <c r="R97" s="381">
        <v>80</v>
      </c>
      <c r="S97" s="386">
        <v>0</v>
      </c>
      <c r="T97" s="381">
        <v>160.97999999999999</v>
      </c>
      <c r="U97" s="381">
        <v>0</v>
      </c>
      <c r="V97" s="381">
        <v>101.62</v>
      </c>
      <c r="W97" s="381">
        <v>0</v>
      </c>
      <c r="X97" s="381">
        <v>0</v>
      </c>
      <c r="Y97" s="381">
        <v>0</v>
      </c>
      <c r="Z97" s="381">
        <v>0</v>
      </c>
      <c r="AA97" s="377" t="s">
        <v>410</v>
      </c>
      <c r="AB97" s="377" t="s">
        <v>411</v>
      </c>
      <c r="AC97" s="377" t="s">
        <v>412</v>
      </c>
      <c r="AD97" s="377" t="s">
        <v>413</v>
      </c>
      <c r="AE97" s="377" t="s">
        <v>170</v>
      </c>
      <c r="AF97" s="377" t="s">
        <v>178</v>
      </c>
      <c r="AG97" s="377" t="s">
        <v>179</v>
      </c>
      <c r="AH97" s="382">
        <v>17.73</v>
      </c>
      <c r="AI97" s="382">
        <v>6730.4</v>
      </c>
      <c r="AJ97" s="377" t="s">
        <v>180</v>
      </c>
      <c r="AK97" s="377" t="s">
        <v>181</v>
      </c>
      <c r="AL97" s="377" t="s">
        <v>182</v>
      </c>
      <c r="AM97" s="377" t="s">
        <v>183</v>
      </c>
      <c r="AN97" s="377" t="s">
        <v>66</v>
      </c>
      <c r="AO97" s="380">
        <v>80</v>
      </c>
      <c r="AP97" s="386">
        <v>1</v>
      </c>
      <c r="AQ97" s="386">
        <v>0</v>
      </c>
      <c r="AR97" s="384" t="s">
        <v>184</v>
      </c>
      <c r="AS97" s="388">
        <f t="shared" si="98"/>
        <v>0</v>
      </c>
      <c r="AT97">
        <f t="shared" si="99"/>
        <v>0</v>
      </c>
      <c r="AU97" s="388" t="str">
        <f>IF(AT97=0,"",IF(AND(AT97=1,M97="F",SUMIF(C2:C112,C97,AS2:AS112)&lt;=1),SUMIF(C2:C112,C97,AS2:AS112),IF(AND(AT97=1,M97="F",SUMIF(C2:C112,C97,AS2:AS112)&gt;1),1,"")))</f>
        <v/>
      </c>
      <c r="AV97" s="388" t="str">
        <f>IF(AT97=0,"",IF(AND(AT97=3,M97="F",SUMIF(C2:C112,C97,AS2:AS112)&lt;=1),SUMIF(C2:C112,C97,AS2:AS112),IF(AND(AT97=3,M97="F",SUMIF(C2:C112,C97,AS2:AS112)&gt;1),1,"")))</f>
        <v/>
      </c>
      <c r="AW97" s="388">
        <f>SUMIF(C2:C112,C97,O2:O112)</f>
        <v>2</v>
      </c>
      <c r="AX97" s="388">
        <f>IF(AND(M97="F",AS97&lt;&gt;0),SUMIF(C2:C112,C97,W2:W112),0)</f>
        <v>0</v>
      </c>
      <c r="AY97" s="388" t="str">
        <f t="shared" si="100"/>
        <v/>
      </c>
      <c r="AZ97" s="388" t="str">
        <f t="shared" si="101"/>
        <v/>
      </c>
      <c r="BA97" s="388">
        <f t="shared" si="102"/>
        <v>0</v>
      </c>
      <c r="BB97" s="388">
        <f t="shared" si="71"/>
        <v>0</v>
      </c>
      <c r="BC97" s="388">
        <f t="shared" si="72"/>
        <v>0</v>
      </c>
      <c r="BD97" s="388">
        <f t="shared" si="73"/>
        <v>0</v>
      </c>
      <c r="BE97" s="388">
        <f t="shared" si="74"/>
        <v>0</v>
      </c>
      <c r="BF97" s="388">
        <f t="shared" si="75"/>
        <v>0</v>
      </c>
      <c r="BG97" s="388">
        <f t="shared" si="76"/>
        <v>0</v>
      </c>
      <c r="BH97" s="388">
        <f t="shared" si="77"/>
        <v>0</v>
      </c>
      <c r="BI97" s="388">
        <f t="shared" si="78"/>
        <v>0</v>
      </c>
      <c r="BJ97" s="388">
        <f t="shared" si="79"/>
        <v>0</v>
      </c>
      <c r="BK97" s="388">
        <f t="shared" si="80"/>
        <v>0</v>
      </c>
      <c r="BL97" s="388">
        <f t="shared" si="103"/>
        <v>0</v>
      </c>
      <c r="BM97" s="388">
        <f t="shared" si="104"/>
        <v>0</v>
      </c>
      <c r="BN97" s="388">
        <f t="shared" si="81"/>
        <v>0</v>
      </c>
      <c r="BO97" s="388">
        <f t="shared" si="82"/>
        <v>0</v>
      </c>
      <c r="BP97" s="388">
        <f t="shared" si="83"/>
        <v>0</v>
      </c>
      <c r="BQ97" s="388">
        <f t="shared" si="84"/>
        <v>0</v>
      </c>
      <c r="BR97" s="388">
        <f t="shared" si="85"/>
        <v>0</v>
      </c>
      <c r="BS97" s="388">
        <f t="shared" si="86"/>
        <v>0</v>
      </c>
      <c r="BT97" s="388">
        <f t="shared" si="87"/>
        <v>0</v>
      </c>
      <c r="BU97" s="388">
        <f t="shared" si="88"/>
        <v>0</v>
      </c>
      <c r="BV97" s="388">
        <f t="shared" si="89"/>
        <v>0</v>
      </c>
      <c r="BW97" s="388">
        <f t="shared" si="90"/>
        <v>0</v>
      </c>
      <c r="BX97" s="388">
        <f t="shared" si="105"/>
        <v>0</v>
      </c>
      <c r="BY97" s="388">
        <f t="shared" si="106"/>
        <v>0</v>
      </c>
      <c r="BZ97" s="388">
        <f t="shared" si="107"/>
        <v>0</v>
      </c>
      <c r="CA97" s="388">
        <f t="shared" si="108"/>
        <v>0</v>
      </c>
      <c r="CB97" s="388">
        <f t="shared" si="109"/>
        <v>0</v>
      </c>
      <c r="CC97" s="388">
        <f t="shared" si="91"/>
        <v>0</v>
      </c>
      <c r="CD97" s="388">
        <f t="shared" si="92"/>
        <v>0</v>
      </c>
      <c r="CE97" s="388">
        <f t="shared" si="93"/>
        <v>0</v>
      </c>
      <c r="CF97" s="388">
        <f t="shared" si="94"/>
        <v>0</v>
      </c>
      <c r="CG97" s="388">
        <f t="shared" si="95"/>
        <v>0</v>
      </c>
      <c r="CH97" s="388">
        <f t="shared" si="96"/>
        <v>0</v>
      </c>
      <c r="CI97" s="388">
        <f t="shared" si="97"/>
        <v>0</v>
      </c>
      <c r="CJ97" s="388">
        <f t="shared" si="110"/>
        <v>0</v>
      </c>
      <c r="CK97" s="388" t="str">
        <f t="shared" si="111"/>
        <v/>
      </c>
      <c r="CL97" s="388" t="str">
        <f t="shared" si="112"/>
        <v/>
      </c>
      <c r="CM97" s="388" t="str">
        <f t="shared" si="113"/>
        <v/>
      </c>
      <c r="CN97" s="388" t="str">
        <f t="shared" si="114"/>
        <v>0349-00</v>
      </c>
    </row>
    <row r="98" spans="1:92" ht="15.75" thickBot="1">
      <c r="A98" s="377" t="s">
        <v>162</v>
      </c>
      <c r="B98" s="377" t="s">
        <v>163</v>
      </c>
      <c r="C98" s="377" t="s">
        <v>524</v>
      </c>
      <c r="D98" s="377" t="s">
        <v>525</v>
      </c>
      <c r="E98" s="377" t="s">
        <v>500</v>
      </c>
      <c r="F98" s="378" t="s">
        <v>167</v>
      </c>
      <c r="G98" s="377" t="s">
        <v>168</v>
      </c>
      <c r="H98" s="379"/>
      <c r="I98" s="379"/>
      <c r="J98" s="377" t="s">
        <v>169</v>
      </c>
      <c r="K98" s="377" t="s">
        <v>526</v>
      </c>
      <c r="L98" s="377" t="s">
        <v>172</v>
      </c>
      <c r="M98" s="377" t="s">
        <v>189</v>
      </c>
      <c r="N98" s="377" t="s">
        <v>214</v>
      </c>
      <c r="O98" s="380">
        <v>0</v>
      </c>
      <c r="P98" s="386">
        <v>1</v>
      </c>
      <c r="Q98" s="386">
        <v>0</v>
      </c>
      <c r="R98" s="381">
        <v>0</v>
      </c>
      <c r="S98" s="386">
        <v>0</v>
      </c>
      <c r="T98" s="381">
        <v>0</v>
      </c>
      <c r="U98" s="381">
        <v>0</v>
      </c>
      <c r="V98" s="381">
        <v>0</v>
      </c>
      <c r="W98" s="381">
        <v>0</v>
      </c>
      <c r="X98" s="381">
        <v>0</v>
      </c>
      <c r="Y98" s="381">
        <v>0</v>
      </c>
      <c r="Z98" s="381">
        <v>0</v>
      </c>
      <c r="AA98" s="379"/>
      <c r="AB98" s="377" t="s">
        <v>45</v>
      </c>
      <c r="AC98" s="377" t="s">
        <v>45</v>
      </c>
      <c r="AD98" s="379"/>
      <c r="AE98" s="379"/>
      <c r="AF98" s="379"/>
      <c r="AG98" s="379"/>
      <c r="AH98" s="380">
        <v>0</v>
      </c>
      <c r="AI98" s="380">
        <v>0</v>
      </c>
      <c r="AJ98" s="379"/>
      <c r="AK98" s="379"/>
      <c r="AL98" s="377" t="s">
        <v>182</v>
      </c>
      <c r="AM98" s="379"/>
      <c r="AN98" s="379"/>
      <c r="AO98" s="380">
        <v>0</v>
      </c>
      <c r="AP98" s="386">
        <v>0</v>
      </c>
      <c r="AQ98" s="386">
        <v>0</v>
      </c>
      <c r="AR98" s="385"/>
      <c r="AS98" s="388">
        <f t="shared" si="98"/>
        <v>0</v>
      </c>
      <c r="AT98">
        <f t="shared" si="99"/>
        <v>0</v>
      </c>
      <c r="AU98" s="388" t="str">
        <f>IF(AT98=0,"",IF(AND(AT98=1,M98="F",SUMIF(C2:C112,C98,AS2:AS112)&lt;=1),SUMIF(C2:C112,C98,AS2:AS112),IF(AND(AT98=1,M98="F",SUMIF(C2:C112,C98,AS2:AS112)&gt;1),1,"")))</f>
        <v/>
      </c>
      <c r="AV98" s="388" t="str">
        <f>IF(AT98=0,"",IF(AND(AT98=3,M98="F",SUMIF(C2:C112,C98,AS2:AS112)&lt;=1),SUMIF(C2:C112,C98,AS2:AS112),IF(AND(AT98=3,M98="F",SUMIF(C2:C112,C98,AS2:AS112)&gt;1),1,"")))</f>
        <v/>
      </c>
      <c r="AW98" s="388">
        <f>SUMIF(C2:C112,C98,O2:O112)</f>
        <v>0</v>
      </c>
      <c r="AX98" s="388">
        <f>IF(AND(M98="F",AS98&lt;&gt;0),SUMIF(C2:C112,C98,W2:W112),0)</f>
        <v>0</v>
      </c>
      <c r="AY98" s="388" t="str">
        <f t="shared" si="100"/>
        <v/>
      </c>
      <c r="AZ98" s="388" t="str">
        <f t="shared" si="101"/>
        <v/>
      </c>
      <c r="BA98" s="388">
        <f t="shared" si="102"/>
        <v>0</v>
      </c>
      <c r="BB98" s="388">
        <f t="shared" ref="BB98:BB112" si="115">IF(AND(AT98=1,AK98="E",AU98&gt;=0.75,AW98=1),Health,IF(AND(AT98=1,AK98="E",AU98&gt;=0.75),Health*P98,IF(AND(AT98=1,AK98="E",AU98&gt;=0.5,AW98=1),PTHealth,IF(AND(AT98=1,AK98="E",AU98&gt;=0.5),PTHealth*P98,0))))</f>
        <v>0</v>
      </c>
      <c r="BC98" s="388">
        <f t="shared" ref="BC98:BC112" si="116">IF(AND(AT98=3,AK98="E",AV98&gt;=0.75,AW98=1),Health,IF(AND(AT98=3,AK98="E",AV98&gt;=0.75),Health*P98,IF(AND(AT98=3,AK98="E",AV98&gt;=0.5,AW98=1),PTHealth,IF(AND(AT98=3,AK98="E",AV98&gt;=0.5),PTHealth*P98,0))))</f>
        <v>0</v>
      </c>
      <c r="BD98" s="388">
        <f t="shared" ref="BD98:BD112" si="117">IF(AND(AT98&lt;&gt;0,AX98&gt;=MAXSSDI),SSDI*MAXSSDI*P98,IF(AT98&lt;&gt;0,SSDI*W98,0))</f>
        <v>0</v>
      </c>
      <c r="BE98" s="388">
        <f t="shared" ref="BE98:BE112" si="118">IF(AT98&lt;&gt;0,SSHI*W98,0)</f>
        <v>0</v>
      </c>
      <c r="BF98" s="388">
        <f t="shared" ref="BF98:BF112" si="119">IF(AND(AT98&lt;&gt;0,AN98&lt;&gt;"NE"),VLOOKUP(AN98,Retirement_Rates,3,FALSE)*W98,0)</f>
        <v>0</v>
      </c>
      <c r="BG98" s="388">
        <f t="shared" ref="BG98:BG112" si="120">IF(AND(AT98&lt;&gt;0,AJ98&lt;&gt;"PF"),Life*W98,0)</f>
        <v>0</v>
      </c>
      <c r="BH98" s="388">
        <f t="shared" ref="BH98:BH112" si="121">IF(AND(AT98&lt;&gt;0,AM98="Y"),UI*W98,0)</f>
        <v>0</v>
      </c>
      <c r="BI98" s="388">
        <f t="shared" ref="BI98:BI112" si="122">IF(AND(AT98&lt;&gt;0,N98&lt;&gt;"NR"),DHR*W98,0)</f>
        <v>0</v>
      </c>
      <c r="BJ98" s="388">
        <f t="shared" ref="BJ98:BJ112" si="123">IF(AT98&lt;&gt;0,WC*W98,0)</f>
        <v>0</v>
      </c>
      <c r="BK98" s="388">
        <f t="shared" ref="BK98:BK112" si="124">IF(OR(AND(AT98&lt;&gt;0,AJ98&lt;&gt;"PF",AN98&lt;&gt;"NE",AG98&lt;&gt;"A"),AND(AL98="E",OR(AT98=1,AT98=3))),Sick*W98,0)</f>
        <v>0</v>
      </c>
      <c r="BL98" s="388">
        <f t="shared" si="103"/>
        <v>0</v>
      </c>
      <c r="BM98" s="388">
        <f t="shared" si="104"/>
        <v>0</v>
      </c>
      <c r="BN98" s="388">
        <f t="shared" ref="BN98:BN112" si="125">IF(AND(AT98=1,AK98="E",AU98&gt;=0.75,AW98=1),HealthBY,IF(AND(AT98=1,AK98="E",AU98&gt;=0.75),HealthBY*P98,IF(AND(AT98=1,AK98="E",AU98&gt;=0.5,AW98=1),PTHealthBY,IF(AND(AT98=1,AK98="E",AU98&gt;=0.5),PTHealthBY*P98,0))))</f>
        <v>0</v>
      </c>
      <c r="BO98" s="388">
        <f t="shared" ref="BO98:BO112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8">
        <f t="shared" ref="BP98:BP112" si="127">IF(AND(AT98&lt;&gt;0,(AX98+BA98)&gt;=MAXSSDIBY),SSDIBY*MAXSSDIBY*P98,IF(AT98&lt;&gt;0,SSDIBY*W98,0))</f>
        <v>0</v>
      </c>
      <c r="BQ98" s="388">
        <f t="shared" ref="BQ98:BQ112" si="128">IF(AT98&lt;&gt;0,SSHIBY*W98,0)</f>
        <v>0</v>
      </c>
      <c r="BR98" s="388">
        <f t="shared" ref="BR98:BR112" si="129">IF(AND(AT98&lt;&gt;0,AN98&lt;&gt;"NE"),VLOOKUP(AN98,Retirement_Rates,4,FALSE)*W98,0)</f>
        <v>0</v>
      </c>
      <c r="BS98" s="388">
        <f t="shared" ref="BS98:BS112" si="130">IF(AND(AT98&lt;&gt;0,AJ98&lt;&gt;"PF"),LifeBY*W98,0)</f>
        <v>0</v>
      </c>
      <c r="BT98" s="388">
        <f t="shared" ref="BT98:BT112" si="131">IF(AND(AT98&lt;&gt;0,AM98="Y"),UIBY*W98,0)</f>
        <v>0</v>
      </c>
      <c r="BU98" s="388">
        <f t="shared" ref="BU98:BU112" si="132">IF(AND(AT98&lt;&gt;0,N98&lt;&gt;"NR"),DHRBY*W98,0)</f>
        <v>0</v>
      </c>
      <c r="BV98" s="388">
        <f t="shared" ref="BV98:BV112" si="133">IF(AT98&lt;&gt;0,WCBY*W98,0)</f>
        <v>0</v>
      </c>
      <c r="BW98" s="388">
        <f t="shared" ref="BW98:BW112" si="134">IF(OR(AND(AT98&lt;&gt;0,AJ98&lt;&gt;"PF",AN98&lt;&gt;"NE",AG98&lt;&gt;"A"),AND(AL98="E",OR(AT98=1,AT98=3))),SickBY*W98,0)</f>
        <v>0</v>
      </c>
      <c r="BX98" s="388">
        <f t="shared" si="105"/>
        <v>0</v>
      </c>
      <c r="BY98" s="388">
        <f t="shared" si="106"/>
        <v>0</v>
      </c>
      <c r="BZ98" s="388">
        <f t="shared" si="107"/>
        <v>0</v>
      </c>
      <c r="CA98" s="388">
        <f t="shared" si="108"/>
        <v>0</v>
      </c>
      <c r="CB98" s="388">
        <f t="shared" si="109"/>
        <v>0</v>
      </c>
      <c r="CC98" s="388">
        <f t="shared" ref="CC98:CC112" si="135">IF(AT98&lt;&gt;0,SSHICHG*Y98,0)</f>
        <v>0</v>
      </c>
      <c r="CD98" s="388">
        <f t="shared" ref="CD98:CD112" si="136">IF(AND(AT98&lt;&gt;0,AN98&lt;&gt;"NE"),VLOOKUP(AN98,Retirement_Rates,5,FALSE)*Y98,0)</f>
        <v>0</v>
      </c>
      <c r="CE98" s="388">
        <f t="shared" ref="CE98:CE112" si="137">IF(AND(AT98&lt;&gt;0,AJ98&lt;&gt;"PF"),LifeCHG*Y98,0)</f>
        <v>0</v>
      </c>
      <c r="CF98" s="388">
        <f t="shared" ref="CF98:CF112" si="138">IF(AND(AT98&lt;&gt;0,AM98="Y"),UICHG*Y98,0)</f>
        <v>0</v>
      </c>
      <c r="CG98" s="388">
        <f t="shared" ref="CG98:CG112" si="139">IF(AND(AT98&lt;&gt;0,N98&lt;&gt;"NR"),DHRCHG*Y98,0)</f>
        <v>0</v>
      </c>
      <c r="CH98" s="388">
        <f t="shared" ref="CH98:CH112" si="140">IF(AT98&lt;&gt;0,WCCHG*Y98,0)</f>
        <v>0</v>
      </c>
      <c r="CI98" s="388">
        <f t="shared" ref="CI98:CI112" si="141">IF(OR(AND(AT98&lt;&gt;0,AJ98&lt;&gt;"PF",AN98&lt;&gt;"NE",AG98&lt;&gt;"A"),AND(AL98="E",OR(AT98=1,AT98=3))),SickCHG*Y98,0)</f>
        <v>0</v>
      </c>
      <c r="CJ98" s="388">
        <f t="shared" si="110"/>
        <v>0</v>
      </c>
      <c r="CK98" s="388" t="str">
        <f t="shared" si="111"/>
        <v/>
      </c>
      <c r="CL98" s="388">
        <f t="shared" si="112"/>
        <v>0</v>
      </c>
      <c r="CM98" s="388">
        <f t="shared" si="113"/>
        <v>0</v>
      </c>
      <c r="CN98" s="388" t="str">
        <f t="shared" si="114"/>
        <v>0349-00</v>
      </c>
    </row>
    <row r="99" spans="1:92" ht="15.75" thickBot="1">
      <c r="A99" s="377" t="s">
        <v>162</v>
      </c>
      <c r="B99" s="377" t="s">
        <v>163</v>
      </c>
      <c r="C99" s="377" t="s">
        <v>203</v>
      </c>
      <c r="D99" s="377" t="s">
        <v>204</v>
      </c>
      <c r="E99" s="377" t="s">
        <v>500</v>
      </c>
      <c r="F99" s="378" t="s">
        <v>167</v>
      </c>
      <c r="G99" s="377" t="s">
        <v>168</v>
      </c>
      <c r="H99" s="379"/>
      <c r="I99" s="379"/>
      <c r="J99" s="377" t="s">
        <v>169</v>
      </c>
      <c r="K99" s="377" t="s">
        <v>205</v>
      </c>
      <c r="L99" s="377" t="s">
        <v>179</v>
      </c>
      <c r="M99" s="377" t="s">
        <v>172</v>
      </c>
      <c r="N99" s="377" t="s">
        <v>173</v>
      </c>
      <c r="O99" s="380">
        <v>1</v>
      </c>
      <c r="P99" s="386">
        <v>1</v>
      </c>
      <c r="Q99" s="386">
        <v>1</v>
      </c>
      <c r="R99" s="381">
        <v>80</v>
      </c>
      <c r="S99" s="386">
        <v>1</v>
      </c>
      <c r="T99" s="381">
        <v>34853.68</v>
      </c>
      <c r="U99" s="381">
        <v>376.32</v>
      </c>
      <c r="V99" s="381">
        <v>19224.27</v>
      </c>
      <c r="W99" s="381">
        <v>39104</v>
      </c>
      <c r="X99" s="381">
        <v>20956.2</v>
      </c>
      <c r="Y99" s="381">
        <v>39104</v>
      </c>
      <c r="Z99" s="381">
        <v>21850.35</v>
      </c>
      <c r="AA99" s="377" t="s">
        <v>206</v>
      </c>
      <c r="AB99" s="377" t="s">
        <v>207</v>
      </c>
      <c r="AC99" s="377" t="s">
        <v>208</v>
      </c>
      <c r="AD99" s="377" t="s">
        <v>209</v>
      </c>
      <c r="AE99" s="377" t="s">
        <v>205</v>
      </c>
      <c r="AF99" s="377" t="s">
        <v>210</v>
      </c>
      <c r="AG99" s="377" t="s">
        <v>179</v>
      </c>
      <c r="AH99" s="382">
        <v>18.8</v>
      </c>
      <c r="AI99" s="382">
        <v>9313.7999999999993</v>
      </c>
      <c r="AJ99" s="377" t="s">
        <v>180</v>
      </c>
      <c r="AK99" s="377" t="s">
        <v>181</v>
      </c>
      <c r="AL99" s="377" t="s">
        <v>182</v>
      </c>
      <c r="AM99" s="377" t="s">
        <v>183</v>
      </c>
      <c r="AN99" s="377" t="s">
        <v>66</v>
      </c>
      <c r="AO99" s="380">
        <v>80</v>
      </c>
      <c r="AP99" s="386">
        <v>1</v>
      </c>
      <c r="AQ99" s="386">
        <v>1</v>
      </c>
      <c r="AR99" s="384" t="s">
        <v>184</v>
      </c>
      <c r="AS99" s="388">
        <f t="shared" si="98"/>
        <v>1</v>
      </c>
      <c r="AT99">
        <f t="shared" si="99"/>
        <v>1</v>
      </c>
      <c r="AU99" s="388">
        <f>IF(AT99=0,"",IF(AND(AT99=1,M99="F",SUMIF(C2:C112,C99,AS2:AS112)&lt;=1),SUMIF(C2:C112,C99,AS2:AS112),IF(AND(AT99=1,M99="F",SUMIF(C2:C112,C99,AS2:AS112)&gt;1),1,"")))</f>
        <v>1</v>
      </c>
      <c r="AV99" s="388" t="str">
        <f>IF(AT99=0,"",IF(AND(AT99=3,M99="F",SUMIF(C2:C112,C99,AS2:AS112)&lt;=1),SUMIF(C2:C112,C99,AS2:AS112),IF(AND(AT99=3,M99="F",SUMIF(C2:C112,C99,AS2:AS112)&gt;1),1,"")))</f>
        <v/>
      </c>
      <c r="AW99" s="388">
        <f>SUMIF(C2:C112,C99,O2:O112)</f>
        <v>2</v>
      </c>
      <c r="AX99" s="388">
        <f>IF(AND(M99="F",AS99&lt;&gt;0),SUMIF(C2:C112,C99,W2:W112),0)</f>
        <v>39104</v>
      </c>
      <c r="AY99" s="388">
        <f t="shared" si="100"/>
        <v>39104</v>
      </c>
      <c r="AZ99" s="388" t="str">
        <f t="shared" si="101"/>
        <v/>
      </c>
      <c r="BA99" s="388">
        <f t="shared" si="102"/>
        <v>0</v>
      </c>
      <c r="BB99" s="388">
        <f t="shared" si="115"/>
        <v>12500</v>
      </c>
      <c r="BC99" s="388">
        <f t="shared" si="116"/>
        <v>0</v>
      </c>
      <c r="BD99" s="388">
        <f t="shared" si="117"/>
        <v>2424.4479999999999</v>
      </c>
      <c r="BE99" s="388">
        <f t="shared" si="118"/>
        <v>567.00800000000004</v>
      </c>
      <c r="BF99" s="388">
        <f t="shared" si="119"/>
        <v>4669.0176000000001</v>
      </c>
      <c r="BG99" s="388">
        <f t="shared" si="120"/>
        <v>281.93984</v>
      </c>
      <c r="BH99" s="388">
        <f t="shared" si="121"/>
        <v>0</v>
      </c>
      <c r="BI99" s="388">
        <f t="shared" si="122"/>
        <v>216.44064</v>
      </c>
      <c r="BJ99" s="388">
        <f t="shared" si="123"/>
        <v>297.19040000000001</v>
      </c>
      <c r="BK99" s="388">
        <f t="shared" si="124"/>
        <v>0</v>
      </c>
      <c r="BL99" s="388">
        <f t="shared" si="103"/>
        <v>8456.0444800000005</v>
      </c>
      <c r="BM99" s="388">
        <f t="shared" si="104"/>
        <v>0</v>
      </c>
      <c r="BN99" s="388">
        <f t="shared" si="125"/>
        <v>13750</v>
      </c>
      <c r="BO99" s="388">
        <f t="shared" si="126"/>
        <v>0</v>
      </c>
      <c r="BP99" s="388">
        <f t="shared" si="127"/>
        <v>2424.4479999999999</v>
      </c>
      <c r="BQ99" s="388">
        <f t="shared" si="128"/>
        <v>567.00800000000004</v>
      </c>
      <c r="BR99" s="388">
        <f t="shared" si="129"/>
        <v>4371.8271999999997</v>
      </c>
      <c r="BS99" s="388">
        <f t="shared" si="130"/>
        <v>281.93984</v>
      </c>
      <c r="BT99" s="388">
        <f t="shared" si="131"/>
        <v>0</v>
      </c>
      <c r="BU99" s="388">
        <f t="shared" si="132"/>
        <v>216.44064</v>
      </c>
      <c r="BV99" s="388">
        <f t="shared" si="133"/>
        <v>238.53440000000001</v>
      </c>
      <c r="BW99" s="388">
        <f t="shared" si="134"/>
        <v>0</v>
      </c>
      <c r="BX99" s="388">
        <f t="shared" si="105"/>
        <v>8100.1980800000001</v>
      </c>
      <c r="BY99" s="388">
        <f t="shared" si="106"/>
        <v>0</v>
      </c>
      <c r="BZ99" s="388">
        <f t="shared" si="107"/>
        <v>1250</v>
      </c>
      <c r="CA99" s="388">
        <f t="shared" si="108"/>
        <v>0</v>
      </c>
      <c r="CB99" s="388">
        <f t="shared" si="109"/>
        <v>0</v>
      </c>
      <c r="CC99" s="388">
        <f t="shared" si="135"/>
        <v>0</v>
      </c>
      <c r="CD99" s="388">
        <f t="shared" si="136"/>
        <v>-297.19040000000035</v>
      </c>
      <c r="CE99" s="388">
        <f t="shared" si="137"/>
        <v>0</v>
      </c>
      <c r="CF99" s="388">
        <f t="shared" si="138"/>
        <v>0</v>
      </c>
      <c r="CG99" s="388">
        <f t="shared" si="139"/>
        <v>0</v>
      </c>
      <c r="CH99" s="388">
        <f t="shared" si="140"/>
        <v>-58.655999999999985</v>
      </c>
      <c r="CI99" s="388">
        <f t="shared" si="141"/>
        <v>0</v>
      </c>
      <c r="CJ99" s="388">
        <f t="shared" si="110"/>
        <v>-355.84640000000036</v>
      </c>
      <c r="CK99" s="388" t="str">
        <f t="shared" si="111"/>
        <v/>
      </c>
      <c r="CL99" s="388" t="str">
        <f t="shared" si="112"/>
        <v/>
      </c>
      <c r="CM99" s="388" t="str">
        <f t="shared" si="113"/>
        <v/>
      </c>
      <c r="CN99" s="388" t="str">
        <f t="shared" si="114"/>
        <v>0349-00</v>
      </c>
    </row>
    <row r="100" spans="1:92" ht="15.75" thickBot="1">
      <c r="A100" s="377" t="s">
        <v>162</v>
      </c>
      <c r="B100" s="377" t="s">
        <v>163</v>
      </c>
      <c r="C100" s="377" t="s">
        <v>527</v>
      </c>
      <c r="D100" s="377" t="s">
        <v>528</v>
      </c>
      <c r="E100" s="377" t="s">
        <v>500</v>
      </c>
      <c r="F100" s="378" t="s">
        <v>167</v>
      </c>
      <c r="G100" s="377" t="s">
        <v>168</v>
      </c>
      <c r="H100" s="379"/>
      <c r="I100" s="379"/>
      <c r="J100" s="377" t="s">
        <v>169</v>
      </c>
      <c r="K100" s="377" t="s">
        <v>529</v>
      </c>
      <c r="L100" s="377" t="s">
        <v>171</v>
      </c>
      <c r="M100" s="377" t="s">
        <v>189</v>
      </c>
      <c r="N100" s="377" t="s">
        <v>214</v>
      </c>
      <c r="O100" s="380">
        <v>0</v>
      </c>
      <c r="P100" s="386">
        <v>1</v>
      </c>
      <c r="Q100" s="386">
        <v>0</v>
      </c>
      <c r="R100" s="381">
        <v>0</v>
      </c>
      <c r="S100" s="386">
        <v>0</v>
      </c>
      <c r="T100" s="381">
        <v>0</v>
      </c>
      <c r="U100" s="381">
        <v>0</v>
      </c>
      <c r="V100" s="381">
        <v>0</v>
      </c>
      <c r="W100" s="381">
        <v>0</v>
      </c>
      <c r="X100" s="381">
        <v>0</v>
      </c>
      <c r="Y100" s="381">
        <v>0</v>
      </c>
      <c r="Z100" s="381">
        <v>0</v>
      </c>
      <c r="AA100" s="379"/>
      <c r="AB100" s="377" t="s">
        <v>45</v>
      </c>
      <c r="AC100" s="377" t="s">
        <v>45</v>
      </c>
      <c r="AD100" s="379"/>
      <c r="AE100" s="379"/>
      <c r="AF100" s="379"/>
      <c r="AG100" s="379"/>
      <c r="AH100" s="380">
        <v>0</v>
      </c>
      <c r="AI100" s="380">
        <v>0</v>
      </c>
      <c r="AJ100" s="379"/>
      <c r="AK100" s="379"/>
      <c r="AL100" s="377" t="s">
        <v>182</v>
      </c>
      <c r="AM100" s="379"/>
      <c r="AN100" s="379"/>
      <c r="AO100" s="380">
        <v>0</v>
      </c>
      <c r="AP100" s="386">
        <v>0</v>
      </c>
      <c r="AQ100" s="386">
        <v>0</v>
      </c>
      <c r="AR100" s="385"/>
      <c r="AS100" s="388">
        <f t="shared" si="98"/>
        <v>0</v>
      </c>
      <c r="AT100">
        <f t="shared" si="99"/>
        <v>0</v>
      </c>
      <c r="AU100" s="388" t="str">
        <f>IF(AT100=0,"",IF(AND(AT100=1,M100="F",SUMIF(C2:C112,C100,AS2:AS112)&lt;=1),SUMIF(C2:C112,C100,AS2:AS112),IF(AND(AT100=1,M100="F",SUMIF(C2:C112,C100,AS2:AS112)&gt;1),1,"")))</f>
        <v/>
      </c>
      <c r="AV100" s="388" t="str">
        <f>IF(AT100=0,"",IF(AND(AT100=3,M100="F",SUMIF(C2:C112,C100,AS2:AS112)&lt;=1),SUMIF(C2:C112,C100,AS2:AS112),IF(AND(AT100=3,M100="F",SUMIF(C2:C112,C100,AS2:AS112)&gt;1),1,"")))</f>
        <v/>
      </c>
      <c r="AW100" s="388">
        <f>SUMIF(C2:C112,C100,O2:O112)</f>
        <v>0</v>
      </c>
      <c r="AX100" s="388">
        <f>IF(AND(M100="F",AS100&lt;&gt;0),SUMIF(C2:C112,C100,W2:W112),0)</f>
        <v>0</v>
      </c>
      <c r="AY100" s="388" t="str">
        <f t="shared" si="100"/>
        <v/>
      </c>
      <c r="AZ100" s="388" t="str">
        <f t="shared" si="101"/>
        <v/>
      </c>
      <c r="BA100" s="388">
        <f t="shared" si="102"/>
        <v>0</v>
      </c>
      <c r="BB100" s="388">
        <f t="shared" si="115"/>
        <v>0</v>
      </c>
      <c r="BC100" s="388">
        <f t="shared" si="116"/>
        <v>0</v>
      </c>
      <c r="BD100" s="388">
        <f t="shared" si="117"/>
        <v>0</v>
      </c>
      <c r="BE100" s="388">
        <f t="shared" si="118"/>
        <v>0</v>
      </c>
      <c r="BF100" s="388">
        <f t="shared" si="119"/>
        <v>0</v>
      </c>
      <c r="BG100" s="388">
        <f t="shared" si="120"/>
        <v>0</v>
      </c>
      <c r="BH100" s="388">
        <f t="shared" si="121"/>
        <v>0</v>
      </c>
      <c r="BI100" s="388">
        <f t="shared" si="122"/>
        <v>0</v>
      </c>
      <c r="BJ100" s="388">
        <f t="shared" si="123"/>
        <v>0</v>
      </c>
      <c r="BK100" s="388">
        <f t="shared" si="124"/>
        <v>0</v>
      </c>
      <c r="BL100" s="388">
        <f t="shared" si="103"/>
        <v>0</v>
      </c>
      <c r="BM100" s="388">
        <f t="shared" si="104"/>
        <v>0</v>
      </c>
      <c r="BN100" s="388">
        <f t="shared" si="125"/>
        <v>0</v>
      </c>
      <c r="BO100" s="388">
        <f t="shared" si="126"/>
        <v>0</v>
      </c>
      <c r="BP100" s="388">
        <f t="shared" si="127"/>
        <v>0</v>
      </c>
      <c r="BQ100" s="388">
        <f t="shared" si="128"/>
        <v>0</v>
      </c>
      <c r="BR100" s="388">
        <f t="shared" si="129"/>
        <v>0</v>
      </c>
      <c r="BS100" s="388">
        <f t="shared" si="130"/>
        <v>0</v>
      </c>
      <c r="BT100" s="388">
        <f t="shared" si="131"/>
        <v>0</v>
      </c>
      <c r="BU100" s="388">
        <f t="shared" si="132"/>
        <v>0</v>
      </c>
      <c r="BV100" s="388">
        <f t="shared" si="133"/>
        <v>0</v>
      </c>
      <c r="BW100" s="388">
        <f t="shared" si="134"/>
        <v>0</v>
      </c>
      <c r="BX100" s="388">
        <f t="shared" si="105"/>
        <v>0</v>
      </c>
      <c r="BY100" s="388">
        <f t="shared" si="106"/>
        <v>0</v>
      </c>
      <c r="BZ100" s="388">
        <f t="shared" si="107"/>
        <v>0</v>
      </c>
      <c r="CA100" s="388">
        <f t="shared" si="108"/>
        <v>0</v>
      </c>
      <c r="CB100" s="388">
        <f t="shared" si="109"/>
        <v>0</v>
      </c>
      <c r="CC100" s="388">
        <f t="shared" si="135"/>
        <v>0</v>
      </c>
      <c r="CD100" s="388">
        <f t="shared" si="136"/>
        <v>0</v>
      </c>
      <c r="CE100" s="388">
        <f t="shared" si="137"/>
        <v>0</v>
      </c>
      <c r="CF100" s="388">
        <f t="shared" si="138"/>
        <v>0</v>
      </c>
      <c r="CG100" s="388">
        <f t="shared" si="139"/>
        <v>0</v>
      </c>
      <c r="CH100" s="388">
        <f t="shared" si="140"/>
        <v>0</v>
      </c>
      <c r="CI100" s="388">
        <f t="shared" si="141"/>
        <v>0</v>
      </c>
      <c r="CJ100" s="388">
        <f t="shared" si="110"/>
        <v>0</v>
      </c>
      <c r="CK100" s="388" t="str">
        <f t="shared" si="111"/>
        <v/>
      </c>
      <c r="CL100" s="388">
        <f t="shared" si="112"/>
        <v>0</v>
      </c>
      <c r="CM100" s="388">
        <f t="shared" si="113"/>
        <v>0</v>
      </c>
      <c r="CN100" s="388" t="str">
        <f t="shared" si="114"/>
        <v>0349-00</v>
      </c>
    </row>
    <row r="101" spans="1:92" ht="15.75" thickBot="1">
      <c r="A101" s="377" t="s">
        <v>162</v>
      </c>
      <c r="B101" s="377" t="s">
        <v>163</v>
      </c>
      <c r="C101" s="377" t="s">
        <v>340</v>
      </c>
      <c r="D101" s="377" t="s">
        <v>314</v>
      </c>
      <c r="E101" s="377" t="s">
        <v>500</v>
      </c>
      <c r="F101" s="378" t="s">
        <v>167</v>
      </c>
      <c r="G101" s="377" t="s">
        <v>168</v>
      </c>
      <c r="H101" s="379"/>
      <c r="I101" s="379"/>
      <c r="J101" s="377" t="s">
        <v>169</v>
      </c>
      <c r="K101" s="377" t="s">
        <v>315</v>
      </c>
      <c r="L101" s="377" t="s">
        <v>167</v>
      </c>
      <c r="M101" s="377" t="s">
        <v>189</v>
      </c>
      <c r="N101" s="377" t="s">
        <v>214</v>
      </c>
      <c r="O101" s="380">
        <v>0</v>
      </c>
      <c r="P101" s="386">
        <v>1</v>
      </c>
      <c r="Q101" s="386">
        <v>0</v>
      </c>
      <c r="R101" s="381">
        <v>0</v>
      </c>
      <c r="S101" s="386">
        <v>0</v>
      </c>
      <c r="T101" s="381">
        <v>4213.1400000000003</v>
      </c>
      <c r="U101" s="381">
        <v>0</v>
      </c>
      <c r="V101" s="381">
        <v>362.23</v>
      </c>
      <c r="W101" s="381">
        <v>4213.1400000000003</v>
      </c>
      <c r="X101" s="381">
        <v>363.75</v>
      </c>
      <c r="Y101" s="381">
        <v>4213.1400000000003</v>
      </c>
      <c r="Z101" s="381">
        <v>363.75</v>
      </c>
      <c r="AA101" s="379"/>
      <c r="AB101" s="377" t="s">
        <v>45</v>
      </c>
      <c r="AC101" s="377" t="s">
        <v>45</v>
      </c>
      <c r="AD101" s="379"/>
      <c r="AE101" s="379"/>
      <c r="AF101" s="379"/>
      <c r="AG101" s="379"/>
      <c r="AH101" s="380">
        <v>0</v>
      </c>
      <c r="AI101" s="380">
        <v>0</v>
      </c>
      <c r="AJ101" s="379"/>
      <c r="AK101" s="379"/>
      <c r="AL101" s="377" t="s">
        <v>182</v>
      </c>
      <c r="AM101" s="379"/>
      <c r="AN101" s="379"/>
      <c r="AO101" s="380">
        <v>0</v>
      </c>
      <c r="AP101" s="386">
        <v>0</v>
      </c>
      <c r="AQ101" s="386">
        <v>0</v>
      </c>
      <c r="AR101" s="385"/>
      <c r="AS101" s="388">
        <f t="shared" si="98"/>
        <v>0</v>
      </c>
      <c r="AT101">
        <f t="shared" si="99"/>
        <v>0</v>
      </c>
      <c r="AU101" s="388" t="str">
        <f>IF(AT101=0,"",IF(AND(AT101=1,M101="F",SUMIF(C2:C112,C101,AS2:AS112)&lt;=1),SUMIF(C2:C112,C101,AS2:AS112),IF(AND(AT101=1,M101="F",SUMIF(C2:C112,C101,AS2:AS112)&gt;1),1,"")))</f>
        <v/>
      </c>
      <c r="AV101" s="388" t="str">
        <f>IF(AT101=0,"",IF(AND(AT101=3,M101="F",SUMIF(C2:C112,C101,AS2:AS112)&lt;=1),SUMIF(C2:C112,C101,AS2:AS112),IF(AND(AT101=3,M101="F",SUMIF(C2:C112,C101,AS2:AS112)&gt;1),1,"")))</f>
        <v/>
      </c>
      <c r="AW101" s="388">
        <f>SUMIF(C2:C112,C101,O2:O112)</f>
        <v>0</v>
      </c>
      <c r="AX101" s="388">
        <f>IF(AND(M101="F",AS101&lt;&gt;0),SUMIF(C2:C112,C101,W2:W112),0)</f>
        <v>0</v>
      </c>
      <c r="AY101" s="388" t="str">
        <f t="shared" si="100"/>
        <v/>
      </c>
      <c r="AZ101" s="388" t="str">
        <f t="shared" si="101"/>
        <v/>
      </c>
      <c r="BA101" s="388">
        <f t="shared" si="102"/>
        <v>0</v>
      </c>
      <c r="BB101" s="388">
        <f t="shared" si="115"/>
        <v>0</v>
      </c>
      <c r="BC101" s="388">
        <f t="shared" si="116"/>
        <v>0</v>
      </c>
      <c r="BD101" s="388">
        <f t="shared" si="117"/>
        <v>0</v>
      </c>
      <c r="BE101" s="388">
        <f t="shared" si="118"/>
        <v>0</v>
      </c>
      <c r="BF101" s="388">
        <f t="shared" si="119"/>
        <v>0</v>
      </c>
      <c r="BG101" s="388">
        <f t="shared" si="120"/>
        <v>0</v>
      </c>
      <c r="BH101" s="388">
        <f t="shared" si="121"/>
        <v>0</v>
      </c>
      <c r="BI101" s="388">
        <f t="shared" si="122"/>
        <v>0</v>
      </c>
      <c r="BJ101" s="388">
        <f t="shared" si="123"/>
        <v>0</v>
      </c>
      <c r="BK101" s="388">
        <f t="shared" si="124"/>
        <v>0</v>
      </c>
      <c r="BL101" s="388">
        <f t="shared" si="103"/>
        <v>0</v>
      </c>
      <c r="BM101" s="388">
        <f t="shared" si="104"/>
        <v>0</v>
      </c>
      <c r="BN101" s="388">
        <f t="shared" si="125"/>
        <v>0</v>
      </c>
      <c r="BO101" s="388">
        <f t="shared" si="126"/>
        <v>0</v>
      </c>
      <c r="BP101" s="388">
        <f t="shared" si="127"/>
        <v>0</v>
      </c>
      <c r="BQ101" s="388">
        <f t="shared" si="128"/>
        <v>0</v>
      </c>
      <c r="BR101" s="388">
        <f t="shared" si="129"/>
        <v>0</v>
      </c>
      <c r="BS101" s="388">
        <f t="shared" si="130"/>
        <v>0</v>
      </c>
      <c r="BT101" s="388">
        <f t="shared" si="131"/>
        <v>0</v>
      </c>
      <c r="BU101" s="388">
        <f t="shared" si="132"/>
        <v>0</v>
      </c>
      <c r="BV101" s="388">
        <f t="shared" si="133"/>
        <v>0</v>
      </c>
      <c r="BW101" s="388">
        <f t="shared" si="134"/>
        <v>0</v>
      </c>
      <c r="BX101" s="388">
        <f t="shared" si="105"/>
        <v>0</v>
      </c>
      <c r="BY101" s="388">
        <f t="shared" si="106"/>
        <v>0</v>
      </c>
      <c r="BZ101" s="388">
        <f t="shared" si="107"/>
        <v>0</v>
      </c>
      <c r="CA101" s="388">
        <f t="shared" si="108"/>
        <v>0</v>
      </c>
      <c r="CB101" s="388">
        <f t="shared" si="109"/>
        <v>0</v>
      </c>
      <c r="CC101" s="388">
        <f t="shared" si="135"/>
        <v>0</v>
      </c>
      <c r="CD101" s="388">
        <f t="shared" si="136"/>
        <v>0</v>
      </c>
      <c r="CE101" s="388">
        <f t="shared" si="137"/>
        <v>0</v>
      </c>
      <c r="CF101" s="388">
        <f t="shared" si="138"/>
        <v>0</v>
      </c>
      <c r="CG101" s="388">
        <f t="shared" si="139"/>
        <v>0</v>
      </c>
      <c r="CH101" s="388">
        <f t="shared" si="140"/>
        <v>0</v>
      </c>
      <c r="CI101" s="388">
        <f t="shared" si="141"/>
        <v>0</v>
      </c>
      <c r="CJ101" s="388">
        <f t="shared" si="110"/>
        <v>0</v>
      </c>
      <c r="CK101" s="388" t="str">
        <f t="shared" si="111"/>
        <v/>
      </c>
      <c r="CL101" s="388">
        <f t="shared" si="112"/>
        <v>4213.1400000000003</v>
      </c>
      <c r="CM101" s="388">
        <f t="shared" si="113"/>
        <v>362.23</v>
      </c>
      <c r="CN101" s="388" t="str">
        <f t="shared" si="114"/>
        <v>0349-00</v>
      </c>
    </row>
    <row r="102" spans="1:92" ht="15.75" thickBot="1">
      <c r="A102" s="377" t="s">
        <v>162</v>
      </c>
      <c r="B102" s="377" t="s">
        <v>163</v>
      </c>
      <c r="C102" s="377" t="s">
        <v>530</v>
      </c>
      <c r="D102" s="377" t="s">
        <v>314</v>
      </c>
      <c r="E102" s="377" t="s">
        <v>500</v>
      </c>
      <c r="F102" s="378" t="s">
        <v>167</v>
      </c>
      <c r="G102" s="377" t="s">
        <v>168</v>
      </c>
      <c r="H102" s="379"/>
      <c r="I102" s="379"/>
      <c r="J102" s="377" t="s">
        <v>169</v>
      </c>
      <c r="K102" s="377" t="s">
        <v>315</v>
      </c>
      <c r="L102" s="377" t="s">
        <v>167</v>
      </c>
      <c r="M102" s="377" t="s">
        <v>172</v>
      </c>
      <c r="N102" s="377" t="s">
        <v>214</v>
      </c>
      <c r="O102" s="380">
        <v>0</v>
      </c>
      <c r="P102" s="386">
        <v>1</v>
      </c>
      <c r="Q102" s="386">
        <v>0</v>
      </c>
      <c r="R102" s="381">
        <v>0</v>
      </c>
      <c r="S102" s="386">
        <v>0</v>
      </c>
      <c r="T102" s="381">
        <v>133429.57999999999</v>
      </c>
      <c r="U102" s="381">
        <v>3287.69</v>
      </c>
      <c r="V102" s="381">
        <v>12028.6</v>
      </c>
      <c r="W102" s="381">
        <v>136717.26999999999</v>
      </c>
      <c r="X102" s="381">
        <v>12028.6</v>
      </c>
      <c r="Y102" s="381">
        <v>136717.26999999999</v>
      </c>
      <c r="Z102" s="381">
        <v>12028.6</v>
      </c>
      <c r="AA102" s="379"/>
      <c r="AB102" s="377" t="s">
        <v>45</v>
      </c>
      <c r="AC102" s="377" t="s">
        <v>45</v>
      </c>
      <c r="AD102" s="379"/>
      <c r="AE102" s="379"/>
      <c r="AF102" s="379"/>
      <c r="AG102" s="379"/>
      <c r="AH102" s="380">
        <v>0</v>
      </c>
      <c r="AI102" s="380">
        <v>0</v>
      </c>
      <c r="AJ102" s="379"/>
      <c r="AK102" s="379"/>
      <c r="AL102" s="377" t="s">
        <v>182</v>
      </c>
      <c r="AM102" s="379"/>
      <c r="AN102" s="379"/>
      <c r="AO102" s="380">
        <v>0</v>
      </c>
      <c r="AP102" s="386">
        <v>0</v>
      </c>
      <c r="AQ102" s="386">
        <v>0</v>
      </c>
      <c r="AR102" s="385"/>
      <c r="AS102" s="388">
        <f t="shared" si="98"/>
        <v>0</v>
      </c>
      <c r="AT102">
        <f t="shared" si="99"/>
        <v>0</v>
      </c>
      <c r="AU102" s="388" t="str">
        <f>IF(AT102=0,"",IF(AND(AT102=1,M102="F",SUMIF(C2:C112,C102,AS2:AS112)&lt;=1),SUMIF(C2:C112,C102,AS2:AS112),IF(AND(AT102=1,M102="F",SUMIF(C2:C112,C102,AS2:AS112)&gt;1),1,"")))</f>
        <v/>
      </c>
      <c r="AV102" s="388" t="str">
        <f>IF(AT102=0,"",IF(AND(AT102=3,M102="F",SUMIF(C2:C112,C102,AS2:AS112)&lt;=1),SUMIF(C2:C112,C102,AS2:AS112),IF(AND(AT102=3,M102="F",SUMIF(C2:C112,C102,AS2:AS112)&gt;1),1,"")))</f>
        <v/>
      </c>
      <c r="AW102" s="388">
        <f>SUMIF(C2:C112,C102,O2:O112)</f>
        <v>0</v>
      </c>
      <c r="AX102" s="388">
        <f>IF(AND(M102="F",AS102&lt;&gt;0),SUMIF(C2:C112,C102,W2:W112),0)</f>
        <v>0</v>
      </c>
      <c r="AY102" s="388" t="str">
        <f t="shared" si="100"/>
        <v/>
      </c>
      <c r="AZ102" s="388" t="str">
        <f t="shared" si="101"/>
        <v/>
      </c>
      <c r="BA102" s="388">
        <f t="shared" si="102"/>
        <v>0</v>
      </c>
      <c r="BB102" s="388">
        <f t="shared" si="115"/>
        <v>0</v>
      </c>
      <c r="BC102" s="388">
        <f t="shared" si="116"/>
        <v>0</v>
      </c>
      <c r="BD102" s="388">
        <f t="shared" si="117"/>
        <v>0</v>
      </c>
      <c r="BE102" s="388">
        <f t="shared" si="118"/>
        <v>0</v>
      </c>
      <c r="BF102" s="388">
        <f t="shared" si="119"/>
        <v>0</v>
      </c>
      <c r="BG102" s="388">
        <f t="shared" si="120"/>
        <v>0</v>
      </c>
      <c r="BH102" s="388">
        <f t="shared" si="121"/>
        <v>0</v>
      </c>
      <c r="BI102" s="388">
        <f t="shared" si="122"/>
        <v>0</v>
      </c>
      <c r="BJ102" s="388">
        <f t="shared" si="123"/>
        <v>0</v>
      </c>
      <c r="BK102" s="388">
        <f t="shared" si="124"/>
        <v>0</v>
      </c>
      <c r="BL102" s="388">
        <f t="shared" si="103"/>
        <v>0</v>
      </c>
      <c r="BM102" s="388">
        <f t="shared" si="104"/>
        <v>0</v>
      </c>
      <c r="BN102" s="388">
        <f t="shared" si="125"/>
        <v>0</v>
      </c>
      <c r="BO102" s="388">
        <f t="shared" si="126"/>
        <v>0</v>
      </c>
      <c r="BP102" s="388">
        <f t="shared" si="127"/>
        <v>0</v>
      </c>
      <c r="BQ102" s="388">
        <f t="shared" si="128"/>
        <v>0</v>
      </c>
      <c r="BR102" s="388">
        <f t="shared" si="129"/>
        <v>0</v>
      </c>
      <c r="BS102" s="388">
        <f t="shared" si="130"/>
        <v>0</v>
      </c>
      <c r="BT102" s="388">
        <f t="shared" si="131"/>
        <v>0</v>
      </c>
      <c r="BU102" s="388">
        <f t="shared" si="132"/>
        <v>0</v>
      </c>
      <c r="BV102" s="388">
        <f t="shared" si="133"/>
        <v>0</v>
      </c>
      <c r="BW102" s="388">
        <f t="shared" si="134"/>
        <v>0</v>
      </c>
      <c r="BX102" s="388">
        <f t="shared" si="105"/>
        <v>0</v>
      </c>
      <c r="BY102" s="388">
        <f t="shared" si="106"/>
        <v>0</v>
      </c>
      <c r="BZ102" s="388">
        <f t="shared" si="107"/>
        <v>0</v>
      </c>
      <c r="CA102" s="388">
        <f t="shared" si="108"/>
        <v>0</v>
      </c>
      <c r="CB102" s="388">
        <f t="shared" si="109"/>
        <v>0</v>
      </c>
      <c r="CC102" s="388">
        <f t="shared" si="135"/>
        <v>0</v>
      </c>
      <c r="CD102" s="388">
        <f t="shared" si="136"/>
        <v>0</v>
      </c>
      <c r="CE102" s="388">
        <f t="shared" si="137"/>
        <v>0</v>
      </c>
      <c r="CF102" s="388">
        <f t="shared" si="138"/>
        <v>0</v>
      </c>
      <c r="CG102" s="388">
        <f t="shared" si="139"/>
        <v>0</v>
      </c>
      <c r="CH102" s="388">
        <f t="shared" si="140"/>
        <v>0</v>
      </c>
      <c r="CI102" s="388">
        <f t="shared" si="141"/>
        <v>0</v>
      </c>
      <c r="CJ102" s="388">
        <f t="shared" si="110"/>
        <v>0</v>
      </c>
      <c r="CK102" s="388" t="str">
        <f t="shared" si="111"/>
        <v/>
      </c>
      <c r="CL102" s="388">
        <f t="shared" si="112"/>
        <v>136717.26999999999</v>
      </c>
      <c r="CM102" s="388">
        <f t="shared" si="113"/>
        <v>12028.6</v>
      </c>
      <c r="CN102" s="388" t="str">
        <f t="shared" si="114"/>
        <v>0349-00</v>
      </c>
    </row>
    <row r="103" spans="1:92" ht="15.75" thickBot="1">
      <c r="A103" s="377" t="s">
        <v>162</v>
      </c>
      <c r="B103" s="377" t="s">
        <v>163</v>
      </c>
      <c r="C103" s="377" t="s">
        <v>459</v>
      </c>
      <c r="D103" s="377" t="s">
        <v>460</v>
      </c>
      <c r="E103" s="377" t="s">
        <v>500</v>
      </c>
      <c r="F103" s="378" t="s">
        <v>167</v>
      </c>
      <c r="G103" s="377" t="s">
        <v>168</v>
      </c>
      <c r="H103" s="379"/>
      <c r="I103" s="379"/>
      <c r="J103" s="377" t="s">
        <v>169</v>
      </c>
      <c r="K103" s="377" t="s">
        <v>461</v>
      </c>
      <c r="L103" s="377" t="s">
        <v>217</v>
      </c>
      <c r="M103" s="377" t="s">
        <v>189</v>
      </c>
      <c r="N103" s="377" t="s">
        <v>173</v>
      </c>
      <c r="O103" s="380">
        <v>0</v>
      </c>
      <c r="P103" s="386">
        <v>1</v>
      </c>
      <c r="Q103" s="386">
        <v>1</v>
      </c>
      <c r="R103" s="381">
        <v>80</v>
      </c>
      <c r="S103" s="386">
        <v>1</v>
      </c>
      <c r="T103" s="381">
        <v>29050.03</v>
      </c>
      <c r="U103" s="381">
        <v>0</v>
      </c>
      <c r="V103" s="381">
        <v>11177.33</v>
      </c>
      <c r="W103" s="381">
        <v>62275.199999999997</v>
      </c>
      <c r="X103" s="381">
        <v>28023.84</v>
      </c>
      <c r="Y103" s="381">
        <v>62275.199999999997</v>
      </c>
      <c r="Z103" s="381">
        <v>29020.240000000002</v>
      </c>
      <c r="AA103" s="379"/>
      <c r="AB103" s="377" t="s">
        <v>45</v>
      </c>
      <c r="AC103" s="377" t="s">
        <v>45</v>
      </c>
      <c r="AD103" s="379"/>
      <c r="AE103" s="379"/>
      <c r="AF103" s="379"/>
      <c r="AG103" s="379"/>
      <c r="AH103" s="380">
        <v>0</v>
      </c>
      <c r="AI103" s="380">
        <v>0</v>
      </c>
      <c r="AJ103" s="379"/>
      <c r="AK103" s="379"/>
      <c r="AL103" s="377" t="s">
        <v>182</v>
      </c>
      <c r="AM103" s="379"/>
      <c r="AN103" s="379"/>
      <c r="AO103" s="380">
        <v>0</v>
      </c>
      <c r="AP103" s="386">
        <v>0</v>
      </c>
      <c r="AQ103" s="386">
        <v>0</v>
      </c>
      <c r="AR103" s="385"/>
      <c r="AS103" s="388">
        <f t="shared" si="98"/>
        <v>0</v>
      </c>
      <c r="AT103">
        <f t="shared" si="99"/>
        <v>0</v>
      </c>
      <c r="AU103" s="388" t="str">
        <f>IF(AT103=0,"",IF(AND(AT103=1,M103="F",SUMIF(C2:C112,C103,AS2:AS112)&lt;=1),SUMIF(C2:C112,C103,AS2:AS112),IF(AND(AT103=1,M103="F",SUMIF(C2:C112,C103,AS2:AS112)&gt;1),1,"")))</f>
        <v/>
      </c>
      <c r="AV103" s="388" t="str">
        <f>IF(AT103=0,"",IF(AND(AT103=3,M103="F",SUMIF(C2:C112,C103,AS2:AS112)&lt;=1),SUMIF(C2:C112,C103,AS2:AS112),IF(AND(AT103=3,M103="F",SUMIF(C2:C112,C103,AS2:AS112)&gt;1),1,"")))</f>
        <v/>
      </c>
      <c r="AW103" s="388">
        <f>SUMIF(C2:C112,C103,O2:O112)</f>
        <v>0</v>
      </c>
      <c r="AX103" s="388">
        <f>IF(AND(M103="F",AS103&lt;&gt;0),SUMIF(C2:C112,C103,W2:W112),0)</f>
        <v>0</v>
      </c>
      <c r="AY103" s="388" t="str">
        <f t="shared" si="100"/>
        <v/>
      </c>
      <c r="AZ103" s="388" t="str">
        <f t="shared" si="101"/>
        <v/>
      </c>
      <c r="BA103" s="388">
        <f t="shared" si="102"/>
        <v>0</v>
      </c>
      <c r="BB103" s="388">
        <f t="shared" si="115"/>
        <v>0</v>
      </c>
      <c r="BC103" s="388">
        <f t="shared" si="116"/>
        <v>0</v>
      </c>
      <c r="BD103" s="388">
        <f t="shared" si="117"/>
        <v>0</v>
      </c>
      <c r="BE103" s="388">
        <f t="shared" si="118"/>
        <v>0</v>
      </c>
      <c r="BF103" s="388">
        <f t="shared" si="119"/>
        <v>0</v>
      </c>
      <c r="BG103" s="388">
        <f t="shared" si="120"/>
        <v>0</v>
      </c>
      <c r="BH103" s="388">
        <f t="shared" si="121"/>
        <v>0</v>
      </c>
      <c r="BI103" s="388">
        <f t="shared" si="122"/>
        <v>0</v>
      </c>
      <c r="BJ103" s="388">
        <f t="shared" si="123"/>
        <v>0</v>
      </c>
      <c r="BK103" s="388">
        <f t="shared" si="124"/>
        <v>0</v>
      </c>
      <c r="BL103" s="388">
        <f t="shared" si="103"/>
        <v>0</v>
      </c>
      <c r="BM103" s="388">
        <f t="shared" si="104"/>
        <v>0</v>
      </c>
      <c r="BN103" s="388">
        <f t="shared" si="125"/>
        <v>0</v>
      </c>
      <c r="BO103" s="388">
        <f t="shared" si="126"/>
        <v>0</v>
      </c>
      <c r="BP103" s="388">
        <f t="shared" si="127"/>
        <v>0</v>
      </c>
      <c r="BQ103" s="388">
        <f t="shared" si="128"/>
        <v>0</v>
      </c>
      <c r="BR103" s="388">
        <f t="shared" si="129"/>
        <v>0</v>
      </c>
      <c r="BS103" s="388">
        <f t="shared" si="130"/>
        <v>0</v>
      </c>
      <c r="BT103" s="388">
        <f t="shared" si="131"/>
        <v>0</v>
      </c>
      <c r="BU103" s="388">
        <f t="shared" si="132"/>
        <v>0</v>
      </c>
      <c r="BV103" s="388">
        <f t="shared" si="133"/>
        <v>0</v>
      </c>
      <c r="BW103" s="388">
        <f t="shared" si="134"/>
        <v>0</v>
      </c>
      <c r="BX103" s="388">
        <f t="shared" si="105"/>
        <v>0</v>
      </c>
      <c r="BY103" s="388">
        <f t="shared" si="106"/>
        <v>0</v>
      </c>
      <c r="BZ103" s="388">
        <f t="shared" si="107"/>
        <v>0</v>
      </c>
      <c r="CA103" s="388">
        <f t="shared" si="108"/>
        <v>0</v>
      </c>
      <c r="CB103" s="388">
        <f t="shared" si="109"/>
        <v>0</v>
      </c>
      <c r="CC103" s="388">
        <f t="shared" si="135"/>
        <v>0</v>
      </c>
      <c r="CD103" s="388">
        <f t="shared" si="136"/>
        <v>0</v>
      </c>
      <c r="CE103" s="388">
        <f t="shared" si="137"/>
        <v>0</v>
      </c>
      <c r="CF103" s="388">
        <f t="shared" si="138"/>
        <v>0</v>
      </c>
      <c r="CG103" s="388">
        <f t="shared" si="139"/>
        <v>0</v>
      </c>
      <c r="CH103" s="388">
        <f t="shared" si="140"/>
        <v>0</v>
      </c>
      <c r="CI103" s="388">
        <f t="shared" si="141"/>
        <v>0</v>
      </c>
      <c r="CJ103" s="388">
        <f t="shared" si="110"/>
        <v>0</v>
      </c>
      <c r="CK103" s="388" t="str">
        <f t="shared" si="111"/>
        <v/>
      </c>
      <c r="CL103" s="388" t="str">
        <f t="shared" si="112"/>
        <v/>
      </c>
      <c r="CM103" s="388" t="str">
        <f t="shared" si="113"/>
        <v/>
      </c>
      <c r="CN103" s="388" t="str">
        <f t="shared" si="114"/>
        <v>0349-00</v>
      </c>
    </row>
    <row r="104" spans="1:92" ht="15.75" thickBot="1">
      <c r="A104" s="377" t="s">
        <v>162</v>
      </c>
      <c r="B104" s="377" t="s">
        <v>163</v>
      </c>
      <c r="C104" s="377" t="s">
        <v>362</v>
      </c>
      <c r="D104" s="377" t="s">
        <v>314</v>
      </c>
      <c r="E104" s="377" t="s">
        <v>500</v>
      </c>
      <c r="F104" s="378" t="s">
        <v>167</v>
      </c>
      <c r="G104" s="377" t="s">
        <v>168</v>
      </c>
      <c r="H104" s="379"/>
      <c r="I104" s="379"/>
      <c r="J104" s="377" t="s">
        <v>169</v>
      </c>
      <c r="K104" s="377" t="s">
        <v>315</v>
      </c>
      <c r="L104" s="377" t="s">
        <v>167</v>
      </c>
      <c r="M104" s="377" t="s">
        <v>172</v>
      </c>
      <c r="N104" s="377" t="s">
        <v>214</v>
      </c>
      <c r="O104" s="380">
        <v>0</v>
      </c>
      <c r="P104" s="386">
        <v>1</v>
      </c>
      <c r="Q104" s="386">
        <v>0</v>
      </c>
      <c r="R104" s="381">
        <v>0</v>
      </c>
      <c r="S104" s="386">
        <v>0</v>
      </c>
      <c r="T104" s="381">
        <v>65028.26</v>
      </c>
      <c r="U104" s="381">
        <v>2213.7600000000002</v>
      </c>
      <c r="V104" s="381">
        <v>5916.99</v>
      </c>
      <c r="W104" s="381">
        <v>67242.02</v>
      </c>
      <c r="X104" s="381">
        <v>5921.57</v>
      </c>
      <c r="Y104" s="381">
        <v>67242.02</v>
      </c>
      <c r="Z104" s="381">
        <v>5921.57</v>
      </c>
      <c r="AA104" s="379"/>
      <c r="AB104" s="377" t="s">
        <v>45</v>
      </c>
      <c r="AC104" s="377" t="s">
        <v>45</v>
      </c>
      <c r="AD104" s="379"/>
      <c r="AE104" s="379"/>
      <c r="AF104" s="379"/>
      <c r="AG104" s="379"/>
      <c r="AH104" s="380">
        <v>0</v>
      </c>
      <c r="AI104" s="380">
        <v>0</v>
      </c>
      <c r="AJ104" s="379"/>
      <c r="AK104" s="379"/>
      <c r="AL104" s="377" t="s">
        <v>182</v>
      </c>
      <c r="AM104" s="379"/>
      <c r="AN104" s="379"/>
      <c r="AO104" s="380">
        <v>0</v>
      </c>
      <c r="AP104" s="386">
        <v>0</v>
      </c>
      <c r="AQ104" s="386">
        <v>0</v>
      </c>
      <c r="AR104" s="385"/>
      <c r="AS104" s="388">
        <f t="shared" si="98"/>
        <v>0</v>
      </c>
      <c r="AT104">
        <f t="shared" si="99"/>
        <v>0</v>
      </c>
      <c r="AU104" s="388" t="str">
        <f>IF(AT104=0,"",IF(AND(AT104=1,M104="F",SUMIF(C2:C112,C104,AS2:AS112)&lt;=1),SUMIF(C2:C112,C104,AS2:AS112),IF(AND(AT104=1,M104="F",SUMIF(C2:C112,C104,AS2:AS112)&gt;1),1,"")))</f>
        <v/>
      </c>
      <c r="AV104" s="388" t="str">
        <f>IF(AT104=0,"",IF(AND(AT104=3,M104="F",SUMIF(C2:C112,C104,AS2:AS112)&lt;=1),SUMIF(C2:C112,C104,AS2:AS112),IF(AND(AT104=3,M104="F",SUMIF(C2:C112,C104,AS2:AS112)&gt;1),1,"")))</f>
        <v/>
      </c>
      <c r="AW104" s="388">
        <f>SUMIF(C2:C112,C104,O2:O112)</f>
        <v>0</v>
      </c>
      <c r="AX104" s="388">
        <f>IF(AND(M104="F",AS104&lt;&gt;0),SUMIF(C2:C112,C104,W2:W112),0)</f>
        <v>0</v>
      </c>
      <c r="AY104" s="388" t="str">
        <f t="shared" si="100"/>
        <v/>
      </c>
      <c r="AZ104" s="388" t="str">
        <f t="shared" si="101"/>
        <v/>
      </c>
      <c r="BA104" s="388">
        <f t="shared" si="102"/>
        <v>0</v>
      </c>
      <c r="BB104" s="388">
        <f t="shared" si="115"/>
        <v>0</v>
      </c>
      <c r="BC104" s="388">
        <f t="shared" si="116"/>
        <v>0</v>
      </c>
      <c r="BD104" s="388">
        <f t="shared" si="117"/>
        <v>0</v>
      </c>
      <c r="BE104" s="388">
        <f t="shared" si="118"/>
        <v>0</v>
      </c>
      <c r="BF104" s="388">
        <f t="shared" si="119"/>
        <v>0</v>
      </c>
      <c r="BG104" s="388">
        <f t="shared" si="120"/>
        <v>0</v>
      </c>
      <c r="BH104" s="388">
        <f t="shared" si="121"/>
        <v>0</v>
      </c>
      <c r="BI104" s="388">
        <f t="shared" si="122"/>
        <v>0</v>
      </c>
      <c r="BJ104" s="388">
        <f t="shared" si="123"/>
        <v>0</v>
      </c>
      <c r="BK104" s="388">
        <f t="shared" si="124"/>
        <v>0</v>
      </c>
      <c r="BL104" s="388">
        <f t="shared" si="103"/>
        <v>0</v>
      </c>
      <c r="BM104" s="388">
        <f t="shared" si="104"/>
        <v>0</v>
      </c>
      <c r="BN104" s="388">
        <f t="shared" si="125"/>
        <v>0</v>
      </c>
      <c r="BO104" s="388">
        <f t="shared" si="126"/>
        <v>0</v>
      </c>
      <c r="BP104" s="388">
        <f t="shared" si="127"/>
        <v>0</v>
      </c>
      <c r="BQ104" s="388">
        <f t="shared" si="128"/>
        <v>0</v>
      </c>
      <c r="BR104" s="388">
        <f t="shared" si="129"/>
        <v>0</v>
      </c>
      <c r="BS104" s="388">
        <f t="shared" si="130"/>
        <v>0</v>
      </c>
      <c r="BT104" s="388">
        <f t="shared" si="131"/>
        <v>0</v>
      </c>
      <c r="BU104" s="388">
        <f t="shared" si="132"/>
        <v>0</v>
      </c>
      <c r="BV104" s="388">
        <f t="shared" si="133"/>
        <v>0</v>
      </c>
      <c r="BW104" s="388">
        <f t="shared" si="134"/>
        <v>0</v>
      </c>
      <c r="BX104" s="388">
        <f t="shared" si="105"/>
        <v>0</v>
      </c>
      <c r="BY104" s="388">
        <f t="shared" si="106"/>
        <v>0</v>
      </c>
      <c r="BZ104" s="388">
        <f t="shared" si="107"/>
        <v>0</v>
      </c>
      <c r="CA104" s="388">
        <f t="shared" si="108"/>
        <v>0</v>
      </c>
      <c r="CB104" s="388">
        <f t="shared" si="109"/>
        <v>0</v>
      </c>
      <c r="CC104" s="388">
        <f t="shared" si="135"/>
        <v>0</v>
      </c>
      <c r="CD104" s="388">
        <f t="shared" si="136"/>
        <v>0</v>
      </c>
      <c r="CE104" s="388">
        <f t="shared" si="137"/>
        <v>0</v>
      </c>
      <c r="CF104" s="388">
        <f t="shared" si="138"/>
        <v>0</v>
      </c>
      <c r="CG104" s="388">
        <f t="shared" si="139"/>
        <v>0</v>
      </c>
      <c r="CH104" s="388">
        <f t="shared" si="140"/>
        <v>0</v>
      </c>
      <c r="CI104" s="388">
        <f t="shared" si="141"/>
        <v>0</v>
      </c>
      <c r="CJ104" s="388">
        <f t="shared" si="110"/>
        <v>0</v>
      </c>
      <c r="CK104" s="388" t="str">
        <f t="shared" si="111"/>
        <v/>
      </c>
      <c r="CL104" s="388">
        <f t="shared" si="112"/>
        <v>67242.02</v>
      </c>
      <c r="CM104" s="388">
        <f t="shared" si="113"/>
        <v>5916.99</v>
      </c>
      <c r="CN104" s="388" t="str">
        <f t="shared" si="114"/>
        <v>0349-00</v>
      </c>
    </row>
    <row r="105" spans="1:92" ht="15.75" thickBot="1">
      <c r="A105" s="377" t="s">
        <v>162</v>
      </c>
      <c r="B105" s="377" t="s">
        <v>163</v>
      </c>
      <c r="C105" s="377" t="s">
        <v>531</v>
      </c>
      <c r="D105" s="377" t="s">
        <v>165</v>
      </c>
      <c r="E105" s="377" t="s">
        <v>500</v>
      </c>
      <c r="F105" s="378" t="s">
        <v>167</v>
      </c>
      <c r="G105" s="377" t="s">
        <v>168</v>
      </c>
      <c r="H105" s="379"/>
      <c r="I105" s="379"/>
      <c r="J105" s="377" t="s">
        <v>169</v>
      </c>
      <c r="K105" s="377" t="s">
        <v>170</v>
      </c>
      <c r="L105" s="377" t="s">
        <v>171</v>
      </c>
      <c r="M105" s="377" t="s">
        <v>189</v>
      </c>
      <c r="N105" s="377" t="s">
        <v>214</v>
      </c>
      <c r="O105" s="380">
        <v>0</v>
      </c>
      <c r="P105" s="386">
        <v>1</v>
      </c>
      <c r="Q105" s="386">
        <v>0</v>
      </c>
      <c r="R105" s="381">
        <v>0</v>
      </c>
      <c r="S105" s="386">
        <v>0</v>
      </c>
      <c r="T105" s="381">
        <v>0</v>
      </c>
      <c r="U105" s="381">
        <v>0</v>
      </c>
      <c r="V105" s="381">
        <v>0</v>
      </c>
      <c r="W105" s="381">
        <v>0</v>
      </c>
      <c r="X105" s="381">
        <v>0</v>
      </c>
      <c r="Y105" s="381">
        <v>0</v>
      </c>
      <c r="Z105" s="381">
        <v>0</v>
      </c>
      <c r="AA105" s="379"/>
      <c r="AB105" s="377" t="s">
        <v>45</v>
      </c>
      <c r="AC105" s="377" t="s">
        <v>45</v>
      </c>
      <c r="AD105" s="379"/>
      <c r="AE105" s="379"/>
      <c r="AF105" s="379"/>
      <c r="AG105" s="379"/>
      <c r="AH105" s="380">
        <v>0</v>
      </c>
      <c r="AI105" s="380">
        <v>0</v>
      </c>
      <c r="AJ105" s="379"/>
      <c r="AK105" s="379"/>
      <c r="AL105" s="377" t="s">
        <v>182</v>
      </c>
      <c r="AM105" s="379"/>
      <c r="AN105" s="379"/>
      <c r="AO105" s="380">
        <v>0</v>
      </c>
      <c r="AP105" s="386">
        <v>0</v>
      </c>
      <c r="AQ105" s="386">
        <v>0</v>
      </c>
      <c r="AR105" s="385"/>
      <c r="AS105" s="388">
        <f t="shared" si="98"/>
        <v>0</v>
      </c>
      <c r="AT105">
        <f t="shared" si="99"/>
        <v>0</v>
      </c>
      <c r="AU105" s="388" t="str">
        <f>IF(AT105=0,"",IF(AND(AT105=1,M105="F",SUMIF(C2:C112,C105,AS2:AS112)&lt;=1),SUMIF(C2:C112,C105,AS2:AS112),IF(AND(AT105=1,M105="F",SUMIF(C2:C112,C105,AS2:AS112)&gt;1),1,"")))</f>
        <v/>
      </c>
      <c r="AV105" s="388" t="str">
        <f>IF(AT105=0,"",IF(AND(AT105=3,M105="F",SUMIF(C2:C112,C105,AS2:AS112)&lt;=1),SUMIF(C2:C112,C105,AS2:AS112),IF(AND(AT105=3,M105="F",SUMIF(C2:C112,C105,AS2:AS112)&gt;1),1,"")))</f>
        <v/>
      </c>
      <c r="AW105" s="388">
        <f>SUMIF(C2:C112,C105,O2:O112)</f>
        <v>0</v>
      </c>
      <c r="AX105" s="388">
        <f>IF(AND(M105="F",AS105&lt;&gt;0),SUMIF(C2:C112,C105,W2:W112),0)</f>
        <v>0</v>
      </c>
      <c r="AY105" s="388" t="str">
        <f t="shared" si="100"/>
        <v/>
      </c>
      <c r="AZ105" s="388" t="str">
        <f t="shared" si="101"/>
        <v/>
      </c>
      <c r="BA105" s="388">
        <f t="shared" si="102"/>
        <v>0</v>
      </c>
      <c r="BB105" s="388">
        <f t="shared" si="115"/>
        <v>0</v>
      </c>
      <c r="BC105" s="388">
        <f t="shared" si="116"/>
        <v>0</v>
      </c>
      <c r="BD105" s="388">
        <f t="shared" si="117"/>
        <v>0</v>
      </c>
      <c r="BE105" s="388">
        <f t="shared" si="118"/>
        <v>0</v>
      </c>
      <c r="BF105" s="388">
        <f t="shared" si="119"/>
        <v>0</v>
      </c>
      <c r="BG105" s="388">
        <f t="shared" si="120"/>
        <v>0</v>
      </c>
      <c r="BH105" s="388">
        <f t="shared" si="121"/>
        <v>0</v>
      </c>
      <c r="BI105" s="388">
        <f t="shared" si="122"/>
        <v>0</v>
      </c>
      <c r="BJ105" s="388">
        <f t="shared" si="123"/>
        <v>0</v>
      </c>
      <c r="BK105" s="388">
        <f t="shared" si="124"/>
        <v>0</v>
      </c>
      <c r="BL105" s="388">
        <f t="shared" si="103"/>
        <v>0</v>
      </c>
      <c r="BM105" s="388">
        <f t="shared" si="104"/>
        <v>0</v>
      </c>
      <c r="BN105" s="388">
        <f t="shared" si="125"/>
        <v>0</v>
      </c>
      <c r="BO105" s="388">
        <f t="shared" si="126"/>
        <v>0</v>
      </c>
      <c r="BP105" s="388">
        <f t="shared" si="127"/>
        <v>0</v>
      </c>
      <c r="BQ105" s="388">
        <f t="shared" si="128"/>
        <v>0</v>
      </c>
      <c r="BR105" s="388">
        <f t="shared" si="129"/>
        <v>0</v>
      </c>
      <c r="BS105" s="388">
        <f t="shared" si="130"/>
        <v>0</v>
      </c>
      <c r="BT105" s="388">
        <f t="shared" si="131"/>
        <v>0</v>
      </c>
      <c r="BU105" s="388">
        <f t="shared" si="132"/>
        <v>0</v>
      </c>
      <c r="BV105" s="388">
        <f t="shared" si="133"/>
        <v>0</v>
      </c>
      <c r="BW105" s="388">
        <f t="shared" si="134"/>
        <v>0</v>
      </c>
      <c r="BX105" s="388">
        <f t="shared" si="105"/>
        <v>0</v>
      </c>
      <c r="BY105" s="388">
        <f t="shared" si="106"/>
        <v>0</v>
      </c>
      <c r="BZ105" s="388">
        <f t="shared" si="107"/>
        <v>0</v>
      </c>
      <c r="CA105" s="388">
        <f t="shared" si="108"/>
        <v>0</v>
      </c>
      <c r="CB105" s="388">
        <f t="shared" si="109"/>
        <v>0</v>
      </c>
      <c r="CC105" s="388">
        <f t="shared" si="135"/>
        <v>0</v>
      </c>
      <c r="CD105" s="388">
        <f t="shared" si="136"/>
        <v>0</v>
      </c>
      <c r="CE105" s="388">
        <f t="shared" si="137"/>
        <v>0</v>
      </c>
      <c r="CF105" s="388">
        <f t="shared" si="138"/>
        <v>0</v>
      </c>
      <c r="CG105" s="388">
        <f t="shared" si="139"/>
        <v>0</v>
      </c>
      <c r="CH105" s="388">
        <f t="shared" si="140"/>
        <v>0</v>
      </c>
      <c r="CI105" s="388">
        <f t="shared" si="141"/>
        <v>0</v>
      </c>
      <c r="CJ105" s="388">
        <f t="shared" si="110"/>
        <v>0</v>
      </c>
      <c r="CK105" s="388" t="str">
        <f t="shared" si="111"/>
        <v/>
      </c>
      <c r="CL105" s="388">
        <f t="shared" si="112"/>
        <v>0</v>
      </c>
      <c r="CM105" s="388">
        <f t="shared" si="113"/>
        <v>0</v>
      </c>
      <c r="CN105" s="388" t="str">
        <f t="shared" si="114"/>
        <v>0349-00</v>
      </c>
    </row>
    <row r="106" spans="1:92" ht="15.75" thickBot="1">
      <c r="A106" s="377" t="s">
        <v>162</v>
      </c>
      <c r="B106" s="377" t="s">
        <v>163</v>
      </c>
      <c r="C106" s="377" t="s">
        <v>532</v>
      </c>
      <c r="D106" s="377" t="s">
        <v>533</v>
      </c>
      <c r="E106" s="377" t="s">
        <v>500</v>
      </c>
      <c r="F106" s="378" t="s">
        <v>167</v>
      </c>
      <c r="G106" s="377" t="s">
        <v>168</v>
      </c>
      <c r="H106" s="379"/>
      <c r="I106" s="379"/>
      <c r="J106" s="377" t="s">
        <v>169</v>
      </c>
      <c r="K106" s="377" t="s">
        <v>534</v>
      </c>
      <c r="L106" s="377" t="s">
        <v>171</v>
      </c>
      <c r="M106" s="377" t="s">
        <v>189</v>
      </c>
      <c r="N106" s="377" t="s">
        <v>214</v>
      </c>
      <c r="O106" s="380">
        <v>0</v>
      </c>
      <c r="P106" s="386">
        <v>1</v>
      </c>
      <c r="Q106" s="386">
        <v>0</v>
      </c>
      <c r="R106" s="381">
        <v>0</v>
      </c>
      <c r="S106" s="386">
        <v>0</v>
      </c>
      <c r="T106" s="381">
        <v>0</v>
      </c>
      <c r="U106" s="381">
        <v>0</v>
      </c>
      <c r="V106" s="381">
        <v>0</v>
      </c>
      <c r="W106" s="381">
        <v>0</v>
      </c>
      <c r="X106" s="381">
        <v>0</v>
      </c>
      <c r="Y106" s="381">
        <v>0</v>
      </c>
      <c r="Z106" s="381">
        <v>0</v>
      </c>
      <c r="AA106" s="379"/>
      <c r="AB106" s="377" t="s">
        <v>45</v>
      </c>
      <c r="AC106" s="377" t="s">
        <v>45</v>
      </c>
      <c r="AD106" s="379"/>
      <c r="AE106" s="379"/>
      <c r="AF106" s="379"/>
      <c r="AG106" s="379"/>
      <c r="AH106" s="380">
        <v>0</v>
      </c>
      <c r="AI106" s="380">
        <v>0</v>
      </c>
      <c r="AJ106" s="379"/>
      <c r="AK106" s="379"/>
      <c r="AL106" s="377" t="s">
        <v>182</v>
      </c>
      <c r="AM106" s="379"/>
      <c r="AN106" s="379"/>
      <c r="AO106" s="380">
        <v>0</v>
      </c>
      <c r="AP106" s="386">
        <v>0</v>
      </c>
      <c r="AQ106" s="386">
        <v>0</v>
      </c>
      <c r="AR106" s="385"/>
      <c r="AS106" s="388">
        <f t="shared" si="98"/>
        <v>0</v>
      </c>
      <c r="AT106">
        <f t="shared" si="99"/>
        <v>0</v>
      </c>
      <c r="AU106" s="388" t="str">
        <f>IF(AT106=0,"",IF(AND(AT106=1,M106="F",SUMIF(C2:C112,C106,AS2:AS112)&lt;=1),SUMIF(C2:C112,C106,AS2:AS112),IF(AND(AT106=1,M106="F",SUMIF(C2:C112,C106,AS2:AS112)&gt;1),1,"")))</f>
        <v/>
      </c>
      <c r="AV106" s="388" t="str">
        <f>IF(AT106=0,"",IF(AND(AT106=3,M106="F",SUMIF(C2:C112,C106,AS2:AS112)&lt;=1),SUMIF(C2:C112,C106,AS2:AS112),IF(AND(AT106=3,M106="F",SUMIF(C2:C112,C106,AS2:AS112)&gt;1),1,"")))</f>
        <v/>
      </c>
      <c r="AW106" s="388">
        <f>SUMIF(C2:C112,C106,O2:O112)</f>
        <v>0</v>
      </c>
      <c r="AX106" s="388">
        <f>IF(AND(M106="F",AS106&lt;&gt;0),SUMIF(C2:C112,C106,W2:W112),0)</f>
        <v>0</v>
      </c>
      <c r="AY106" s="388" t="str">
        <f t="shared" si="100"/>
        <v/>
      </c>
      <c r="AZ106" s="388" t="str">
        <f t="shared" si="101"/>
        <v/>
      </c>
      <c r="BA106" s="388">
        <f t="shared" si="102"/>
        <v>0</v>
      </c>
      <c r="BB106" s="388">
        <f t="shared" si="115"/>
        <v>0</v>
      </c>
      <c r="BC106" s="388">
        <f t="shared" si="116"/>
        <v>0</v>
      </c>
      <c r="BD106" s="388">
        <f t="shared" si="117"/>
        <v>0</v>
      </c>
      <c r="BE106" s="388">
        <f t="shared" si="118"/>
        <v>0</v>
      </c>
      <c r="BF106" s="388">
        <f t="shared" si="119"/>
        <v>0</v>
      </c>
      <c r="BG106" s="388">
        <f t="shared" si="120"/>
        <v>0</v>
      </c>
      <c r="BH106" s="388">
        <f t="shared" si="121"/>
        <v>0</v>
      </c>
      <c r="BI106" s="388">
        <f t="shared" si="122"/>
        <v>0</v>
      </c>
      <c r="BJ106" s="388">
        <f t="shared" si="123"/>
        <v>0</v>
      </c>
      <c r="BK106" s="388">
        <f t="shared" si="124"/>
        <v>0</v>
      </c>
      <c r="BL106" s="388">
        <f t="shared" si="103"/>
        <v>0</v>
      </c>
      <c r="BM106" s="388">
        <f t="shared" si="104"/>
        <v>0</v>
      </c>
      <c r="BN106" s="388">
        <f t="shared" si="125"/>
        <v>0</v>
      </c>
      <c r="BO106" s="388">
        <f t="shared" si="126"/>
        <v>0</v>
      </c>
      <c r="BP106" s="388">
        <f t="shared" si="127"/>
        <v>0</v>
      </c>
      <c r="BQ106" s="388">
        <f t="shared" si="128"/>
        <v>0</v>
      </c>
      <c r="BR106" s="388">
        <f t="shared" si="129"/>
        <v>0</v>
      </c>
      <c r="BS106" s="388">
        <f t="shared" si="130"/>
        <v>0</v>
      </c>
      <c r="BT106" s="388">
        <f t="shared" si="131"/>
        <v>0</v>
      </c>
      <c r="BU106" s="388">
        <f t="shared" si="132"/>
        <v>0</v>
      </c>
      <c r="BV106" s="388">
        <f t="shared" si="133"/>
        <v>0</v>
      </c>
      <c r="BW106" s="388">
        <f t="shared" si="134"/>
        <v>0</v>
      </c>
      <c r="BX106" s="388">
        <f t="shared" si="105"/>
        <v>0</v>
      </c>
      <c r="BY106" s="388">
        <f t="shared" si="106"/>
        <v>0</v>
      </c>
      <c r="BZ106" s="388">
        <f t="shared" si="107"/>
        <v>0</v>
      </c>
      <c r="CA106" s="388">
        <f t="shared" si="108"/>
        <v>0</v>
      </c>
      <c r="CB106" s="388">
        <f t="shared" si="109"/>
        <v>0</v>
      </c>
      <c r="CC106" s="388">
        <f t="shared" si="135"/>
        <v>0</v>
      </c>
      <c r="CD106" s="388">
        <f t="shared" si="136"/>
        <v>0</v>
      </c>
      <c r="CE106" s="388">
        <f t="shared" si="137"/>
        <v>0</v>
      </c>
      <c r="CF106" s="388">
        <f t="shared" si="138"/>
        <v>0</v>
      </c>
      <c r="CG106" s="388">
        <f t="shared" si="139"/>
        <v>0</v>
      </c>
      <c r="CH106" s="388">
        <f t="shared" si="140"/>
        <v>0</v>
      </c>
      <c r="CI106" s="388">
        <f t="shared" si="141"/>
        <v>0</v>
      </c>
      <c r="CJ106" s="388">
        <f t="shared" si="110"/>
        <v>0</v>
      </c>
      <c r="CK106" s="388" t="str">
        <f t="shared" si="111"/>
        <v/>
      </c>
      <c r="CL106" s="388">
        <f t="shared" si="112"/>
        <v>0</v>
      </c>
      <c r="CM106" s="388">
        <f t="shared" si="113"/>
        <v>0</v>
      </c>
      <c r="CN106" s="388" t="str">
        <f t="shared" si="114"/>
        <v>0349-00</v>
      </c>
    </row>
    <row r="107" spans="1:92" ht="15.75" thickBot="1">
      <c r="A107" s="377" t="s">
        <v>162</v>
      </c>
      <c r="B107" s="377" t="s">
        <v>163</v>
      </c>
      <c r="C107" s="377" t="s">
        <v>535</v>
      </c>
      <c r="D107" s="377" t="s">
        <v>398</v>
      </c>
      <c r="E107" s="377" t="s">
        <v>500</v>
      </c>
      <c r="F107" s="378" t="s">
        <v>167</v>
      </c>
      <c r="G107" s="377" t="s">
        <v>168</v>
      </c>
      <c r="H107" s="379"/>
      <c r="I107" s="379"/>
      <c r="J107" s="377" t="s">
        <v>169</v>
      </c>
      <c r="K107" s="377" t="s">
        <v>399</v>
      </c>
      <c r="L107" s="377" t="s">
        <v>385</v>
      </c>
      <c r="M107" s="377" t="s">
        <v>189</v>
      </c>
      <c r="N107" s="377" t="s">
        <v>214</v>
      </c>
      <c r="O107" s="380">
        <v>0</v>
      </c>
      <c r="P107" s="386">
        <v>1</v>
      </c>
      <c r="Q107" s="386">
        <v>0</v>
      </c>
      <c r="R107" s="381">
        <v>0</v>
      </c>
      <c r="S107" s="386">
        <v>0</v>
      </c>
      <c r="T107" s="381">
        <v>0</v>
      </c>
      <c r="U107" s="381">
        <v>0</v>
      </c>
      <c r="V107" s="381">
        <v>0</v>
      </c>
      <c r="W107" s="381">
        <v>0</v>
      </c>
      <c r="X107" s="381">
        <v>0</v>
      </c>
      <c r="Y107" s="381">
        <v>0</v>
      </c>
      <c r="Z107" s="381">
        <v>0</v>
      </c>
      <c r="AA107" s="379"/>
      <c r="AB107" s="377" t="s">
        <v>45</v>
      </c>
      <c r="AC107" s="377" t="s">
        <v>45</v>
      </c>
      <c r="AD107" s="379"/>
      <c r="AE107" s="379"/>
      <c r="AF107" s="379"/>
      <c r="AG107" s="379"/>
      <c r="AH107" s="380">
        <v>0</v>
      </c>
      <c r="AI107" s="380">
        <v>0</v>
      </c>
      <c r="AJ107" s="379"/>
      <c r="AK107" s="379"/>
      <c r="AL107" s="377" t="s">
        <v>182</v>
      </c>
      <c r="AM107" s="379"/>
      <c r="AN107" s="379"/>
      <c r="AO107" s="380">
        <v>0</v>
      </c>
      <c r="AP107" s="386">
        <v>0</v>
      </c>
      <c r="AQ107" s="386">
        <v>0</v>
      </c>
      <c r="AR107" s="385"/>
      <c r="AS107" s="388">
        <f t="shared" si="98"/>
        <v>0</v>
      </c>
      <c r="AT107">
        <f t="shared" si="99"/>
        <v>0</v>
      </c>
      <c r="AU107" s="388" t="str">
        <f>IF(AT107=0,"",IF(AND(AT107=1,M107="F",SUMIF(C2:C112,C107,AS2:AS112)&lt;=1),SUMIF(C2:C112,C107,AS2:AS112),IF(AND(AT107=1,M107="F",SUMIF(C2:C112,C107,AS2:AS112)&gt;1),1,"")))</f>
        <v/>
      </c>
      <c r="AV107" s="388" t="str">
        <f>IF(AT107=0,"",IF(AND(AT107=3,M107="F",SUMIF(C2:C112,C107,AS2:AS112)&lt;=1),SUMIF(C2:C112,C107,AS2:AS112),IF(AND(AT107=3,M107="F",SUMIF(C2:C112,C107,AS2:AS112)&gt;1),1,"")))</f>
        <v/>
      </c>
      <c r="AW107" s="388">
        <f>SUMIF(C2:C112,C107,O2:O112)</f>
        <v>0</v>
      </c>
      <c r="AX107" s="388">
        <f>IF(AND(M107="F",AS107&lt;&gt;0),SUMIF(C2:C112,C107,W2:W112),0)</f>
        <v>0</v>
      </c>
      <c r="AY107" s="388" t="str">
        <f t="shared" si="100"/>
        <v/>
      </c>
      <c r="AZ107" s="388" t="str">
        <f t="shared" si="101"/>
        <v/>
      </c>
      <c r="BA107" s="388">
        <f t="shared" si="102"/>
        <v>0</v>
      </c>
      <c r="BB107" s="388">
        <f t="shared" si="115"/>
        <v>0</v>
      </c>
      <c r="BC107" s="388">
        <f t="shared" si="116"/>
        <v>0</v>
      </c>
      <c r="BD107" s="388">
        <f t="shared" si="117"/>
        <v>0</v>
      </c>
      <c r="BE107" s="388">
        <f t="shared" si="118"/>
        <v>0</v>
      </c>
      <c r="BF107" s="388">
        <f t="shared" si="119"/>
        <v>0</v>
      </c>
      <c r="BG107" s="388">
        <f t="shared" si="120"/>
        <v>0</v>
      </c>
      <c r="BH107" s="388">
        <f t="shared" si="121"/>
        <v>0</v>
      </c>
      <c r="BI107" s="388">
        <f t="shared" si="122"/>
        <v>0</v>
      </c>
      <c r="BJ107" s="388">
        <f t="shared" si="123"/>
        <v>0</v>
      </c>
      <c r="BK107" s="388">
        <f t="shared" si="124"/>
        <v>0</v>
      </c>
      <c r="BL107" s="388">
        <f t="shared" si="103"/>
        <v>0</v>
      </c>
      <c r="BM107" s="388">
        <f t="shared" si="104"/>
        <v>0</v>
      </c>
      <c r="BN107" s="388">
        <f t="shared" si="125"/>
        <v>0</v>
      </c>
      <c r="BO107" s="388">
        <f t="shared" si="126"/>
        <v>0</v>
      </c>
      <c r="BP107" s="388">
        <f t="shared" si="127"/>
        <v>0</v>
      </c>
      <c r="BQ107" s="388">
        <f t="shared" si="128"/>
        <v>0</v>
      </c>
      <c r="BR107" s="388">
        <f t="shared" si="129"/>
        <v>0</v>
      </c>
      <c r="BS107" s="388">
        <f t="shared" si="130"/>
        <v>0</v>
      </c>
      <c r="BT107" s="388">
        <f t="shared" si="131"/>
        <v>0</v>
      </c>
      <c r="BU107" s="388">
        <f t="shared" si="132"/>
        <v>0</v>
      </c>
      <c r="BV107" s="388">
        <f t="shared" si="133"/>
        <v>0</v>
      </c>
      <c r="BW107" s="388">
        <f t="shared" si="134"/>
        <v>0</v>
      </c>
      <c r="BX107" s="388">
        <f t="shared" si="105"/>
        <v>0</v>
      </c>
      <c r="BY107" s="388">
        <f t="shared" si="106"/>
        <v>0</v>
      </c>
      <c r="BZ107" s="388">
        <f t="shared" si="107"/>
        <v>0</v>
      </c>
      <c r="CA107" s="388">
        <f t="shared" si="108"/>
        <v>0</v>
      </c>
      <c r="CB107" s="388">
        <f t="shared" si="109"/>
        <v>0</v>
      </c>
      <c r="CC107" s="388">
        <f t="shared" si="135"/>
        <v>0</v>
      </c>
      <c r="CD107" s="388">
        <f t="shared" si="136"/>
        <v>0</v>
      </c>
      <c r="CE107" s="388">
        <f t="shared" si="137"/>
        <v>0</v>
      </c>
      <c r="CF107" s="388">
        <f t="shared" si="138"/>
        <v>0</v>
      </c>
      <c r="CG107" s="388">
        <f t="shared" si="139"/>
        <v>0</v>
      </c>
      <c r="CH107" s="388">
        <f t="shared" si="140"/>
        <v>0</v>
      </c>
      <c r="CI107" s="388">
        <f t="shared" si="141"/>
        <v>0</v>
      </c>
      <c r="CJ107" s="388">
        <f t="shared" si="110"/>
        <v>0</v>
      </c>
      <c r="CK107" s="388" t="str">
        <f t="shared" si="111"/>
        <v/>
      </c>
      <c r="CL107" s="388">
        <f t="shared" si="112"/>
        <v>0</v>
      </c>
      <c r="CM107" s="388">
        <f t="shared" si="113"/>
        <v>0</v>
      </c>
      <c r="CN107" s="388" t="str">
        <f t="shared" si="114"/>
        <v>0349-00</v>
      </c>
    </row>
    <row r="108" spans="1:92" ht="15.75" thickBot="1">
      <c r="A108" s="377" t="s">
        <v>162</v>
      </c>
      <c r="B108" s="377" t="s">
        <v>163</v>
      </c>
      <c r="C108" s="377" t="s">
        <v>481</v>
      </c>
      <c r="D108" s="377" t="s">
        <v>482</v>
      </c>
      <c r="E108" s="377" t="s">
        <v>500</v>
      </c>
      <c r="F108" s="378" t="s">
        <v>167</v>
      </c>
      <c r="G108" s="377" t="s">
        <v>168</v>
      </c>
      <c r="H108" s="379"/>
      <c r="I108" s="379"/>
      <c r="J108" s="377" t="s">
        <v>169</v>
      </c>
      <c r="K108" s="377" t="s">
        <v>483</v>
      </c>
      <c r="L108" s="377" t="s">
        <v>179</v>
      </c>
      <c r="M108" s="377" t="s">
        <v>172</v>
      </c>
      <c r="N108" s="377" t="s">
        <v>214</v>
      </c>
      <c r="O108" s="380">
        <v>0</v>
      </c>
      <c r="P108" s="386">
        <v>1</v>
      </c>
      <c r="Q108" s="386">
        <v>0</v>
      </c>
      <c r="R108" s="381">
        <v>0</v>
      </c>
      <c r="S108" s="386">
        <v>0</v>
      </c>
      <c r="T108" s="381">
        <v>9685.9699999999993</v>
      </c>
      <c r="U108" s="381">
        <v>47.91</v>
      </c>
      <c r="V108" s="381">
        <v>858.23</v>
      </c>
      <c r="W108" s="381">
        <v>14497.75</v>
      </c>
      <c r="X108" s="381">
        <v>1290.75</v>
      </c>
      <c r="Y108" s="381">
        <v>14497.75</v>
      </c>
      <c r="Z108" s="381">
        <v>1290.75</v>
      </c>
      <c r="AA108" s="379"/>
      <c r="AB108" s="377" t="s">
        <v>45</v>
      </c>
      <c r="AC108" s="377" t="s">
        <v>45</v>
      </c>
      <c r="AD108" s="379"/>
      <c r="AE108" s="379"/>
      <c r="AF108" s="379"/>
      <c r="AG108" s="379"/>
      <c r="AH108" s="380">
        <v>0</v>
      </c>
      <c r="AI108" s="380">
        <v>0</v>
      </c>
      <c r="AJ108" s="379"/>
      <c r="AK108" s="379"/>
      <c r="AL108" s="377" t="s">
        <v>182</v>
      </c>
      <c r="AM108" s="379"/>
      <c r="AN108" s="379"/>
      <c r="AO108" s="380">
        <v>0</v>
      </c>
      <c r="AP108" s="386">
        <v>0</v>
      </c>
      <c r="AQ108" s="386">
        <v>0</v>
      </c>
      <c r="AR108" s="385"/>
      <c r="AS108" s="388">
        <f t="shared" si="98"/>
        <v>0</v>
      </c>
      <c r="AT108">
        <f t="shared" si="99"/>
        <v>0</v>
      </c>
      <c r="AU108" s="388" t="str">
        <f>IF(AT108=0,"",IF(AND(AT108=1,M108="F",SUMIF(C2:C112,C108,AS2:AS112)&lt;=1),SUMIF(C2:C112,C108,AS2:AS112),IF(AND(AT108=1,M108="F",SUMIF(C2:C112,C108,AS2:AS112)&gt;1),1,"")))</f>
        <v/>
      </c>
      <c r="AV108" s="388" t="str">
        <f>IF(AT108=0,"",IF(AND(AT108=3,M108="F",SUMIF(C2:C112,C108,AS2:AS112)&lt;=1),SUMIF(C2:C112,C108,AS2:AS112),IF(AND(AT108=3,M108="F",SUMIF(C2:C112,C108,AS2:AS112)&gt;1),1,"")))</f>
        <v/>
      </c>
      <c r="AW108" s="388">
        <f>SUMIF(C2:C112,C108,O2:O112)</f>
        <v>0</v>
      </c>
      <c r="AX108" s="388">
        <f>IF(AND(M108="F",AS108&lt;&gt;0),SUMIF(C2:C112,C108,W2:W112),0)</f>
        <v>0</v>
      </c>
      <c r="AY108" s="388" t="str">
        <f t="shared" si="100"/>
        <v/>
      </c>
      <c r="AZ108" s="388" t="str">
        <f t="shared" si="101"/>
        <v/>
      </c>
      <c r="BA108" s="388">
        <f t="shared" si="102"/>
        <v>0</v>
      </c>
      <c r="BB108" s="388">
        <f t="shared" si="115"/>
        <v>0</v>
      </c>
      <c r="BC108" s="388">
        <f t="shared" si="116"/>
        <v>0</v>
      </c>
      <c r="BD108" s="388">
        <f t="shared" si="117"/>
        <v>0</v>
      </c>
      <c r="BE108" s="388">
        <f t="shared" si="118"/>
        <v>0</v>
      </c>
      <c r="BF108" s="388">
        <f t="shared" si="119"/>
        <v>0</v>
      </c>
      <c r="BG108" s="388">
        <f t="shared" si="120"/>
        <v>0</v>
      </c>
      <c r="BH108" s="388">
        <f t="shared" si="121"/>
        <v>0</v>
      </c>
      <c r="BI108" s="388">
        <f t="shared" si="122"/>
        <v>0</v>
      </c>
      <c r="BJ108" s="388">
        <f t="shared" si="123"/>
        <v>0</v>
      </c>
      <c r="BK108" s="388">
        <f t="shared" si="124"/>
        <v>0</v>
      </c>
      <c r="BL108" s="388">
        <f t="shared" si="103"/>
        <v>0</v>
      </c>
      <c r="BM108" s="388">
        <f t="shared" si="104"/>
        <v>0</v>
      </c>
      <c r="BN108" s="388">
        <f t="shared" si="125"/>
        <v>0</v>
      </c>
      <c r="BO108" s="388">
        <f t="shared" si="126"/>
        <v>0</v>
      </c>
      <c r="BP108" s="388">
        <f t="shared" si="127"/>
        <v>0</v>
      </c>
      <c r="BQ108" s="388">
        <f t="shared" si="128"/>
        <v>0</v>
      </c>
      <c r="BR108" s="388">
        <f t="shared" si="129"/>
        <v>0</v>
      </c>
      <c r="BS108" s="388">
        <f t="shared" si="130"/>
        <v>0</v>
      </c>
      <c r="BT108" s="388">
        <f t="shared" si="131"/>
        <v>0</v>
      </c>
      <c r="BU108" s="388">
        <f t="shared" si="132"/>
        <v>0</v>
      </c>
      <c r="BV108" s="388">
        <f t="shared" si="133"/>
        <v>0</v>
      </c>
      <c r="BW108" s="388">
        <f t="shared" si="134"/>
        <v>0</v>
      </c>
      <c r="BX108" s="388">
        <f t="shared" si="105"/>
        <v>0</v>
      </c>
      <c r="BY108" s="388">
        <f t="shared" si="106"/>
        <v>0</v>
      </c>
      <c r="BZ108" s="388">
        <f t="shared" si="107"/>
        <v>0</v>
      </c>
      <c r="CA108" s="388">
        <f t="shared" si="108"/>
        <v>0</v>
      </c>
      <c r="CB108" s="388">
        <f t="shared" si="109"/>
        <v>0</v>
      </c>
      <c r="CC108" s="388">
        <f t="shared" si="135"/>
        <v>0</v>
      </c>
      <c r="CD108" s="388">
        <f t="shared" si="136"/>
        <v>0</v>
      </c>
      <c r="CE108" s="388">
        <f t="shared" si="137"/>
        <v>0</v>
      </c>
      <c r="CF108" s="388">
        <f t="shared" si="138"/>
        <v>0</v>
      </c>
      <c r="CG108" s="388">
        <f t="shared" si="139"/>
        <v>0</v>
      </c>
      <c r="CH108" s="388">
        <f t="shared" si="140"/>
        <v>0</v>
      </c>
      <c r="CI108" s="388">
        <f t="shared" si="141"/>
        <v>0</v>
      </c>
      <c r="CJ108" s="388">
        <f t="shared" si="110"/>
        <v>0</v>
      </c>
      <c r="CK108" s="388" t="str">
        <f t="shared" si="111"/>
        <v/>
      </c>
      <c r="CL108" s="388">
        <f t="shared" si="112"/>
        <v>9733.8799999999992</v>
      </c>
      <c r="CM108" s="388">
        <f t="shared" si="113"/>
        <v>858.23</v>
      </c>
      <c r="CN108" s="388" t="str">
        <f t="shared" si="114"/>
        <v>0349-00</v>
      </c>
    </row>
    <row r="109" spans="1:92" ht="15.75" thickBot="1">
      <c r="A109" s="377" t="s">
        <v>162</v>
      </c>
      <c r="B109" s="377" t="s">
        <v>163</v>
      </c>
      <c r="C109" s="377" t="s">
        <v>536</v>
      </c>
      <c r="D109" s="377" t="s">
        <v>212</v>
      </c>
      <c r="E109" s="377" t="s">
        <v>537</v>
      </c>
      <c r="F109" s="383" t="s">
        <v>538</v>
      </c>
      <c r="G109" s="377" t="s">
        <v>168</v>
      </c>
      <c r="H109" s="379"/>
      <c r="I109" s="379"/>
      <c r="J109" s="377" t="s">
        <v>169</v>
      </c>
      <c r="K109" s="377" t="s">
        <v>213</v>
      </c>
      <c r="L109" s="377" t="s">
        <v>177</v>
      </c>
      <c r="M109" s="377" t="s">
        <v>172</v>
      </c>
      <c r="N109" s="377" t="s">
        <v>173</v>
      </c>
      <c r="O109" s="380">
        <v>1</v>
      </c>
      <c r="P109" s="386">
        <v>1</v>
      </c>
      <c r="Q109" s="386">
        <v>1</v>
      </c>
      <c r="R109" s="381">
        <v>80</v>
      </c>
      <c r="S109" s="386">
        <v>1</v>
      </c>
      <c r="T109" s="381">
        <v>49558.31</v>
      </c>
      <c r="U109" s="381">
        <v>196.38</v>
      </c>
      <c r="V109" s="381">
        <v>22237.48</v>
      </c>
      <c r="W109" s="381">
        <v>54121.599999999999</v>
      </c>
      <c r="X109" s="381">
        <v>24203.759999999998</v>
      </c>
      <c r="Y109" s="381">
        <v>54121.599999999999</v>
      </c>
      <c r="Z109" s="381">
        <v>24961.26</v>
      </c>
      <c r="AA109" s="377" t="s">
        <v>539</v>
      </c>
      <c r="AB109" s="377" t="s">
        <v>540</v>
      </c>
      <c r="AC109" s="377" t="s">
        <v>541</v>
      </c>
      <c r="AD109" s="377" t="s">
        <v>188</v>
      </c>
      <c r="AE109" s="377" t="s">
        <v>213</v>
      </c>
      <c r="AF109" s="377" t="s">
        <v>237</v>
      </c>
      <c r="AG109" s="377" t="s">
        <v>179</v>
      </c>
      <c r="AH109" s="382">
        <v>26.02</v>
      </c>
      <c r="AI109" s="382">
        <v>9760.9</v>
      </c>
      <c r="AJ109" s="377" t="s">
        <v>180</v>
      </c>
      <c r="AK109" s="377" t="s">
        <v>181</v>
      </c>
      <c r="AL109" s="377" t="s">
        <v>182</v>
      </c>
      <c r="AM109" s="377" t="s">
        <v>183</v>
      </c>
      <c r="AN109" s="377" t="s">
        <v>66</v>
      </c>
      <c r="AO109" s="380">
        <v>80</v>
      </c>
      <c r="AP109" s="386">
        <v>1</v>
      </c>
      <c r="AQ109" s="386">
        <v>1</v>
      </c>
      <c r="AR109" s="384" t="s">
        <v>184</v>
      </c>
      <c r="AS109" s="388">
        <f t="shared" si="98"/>
        <v>1</v>
      </c>
      <c r="AT109">
        <f t="shared" si="99"/>
        <v>1</v>
      </c>
      <c r="AU109" s="388">
        <f>IF(AT109=0,"",IF(AND(AT109=1,M109="F",SUMIF(C2:C112,C109,AS2:AS112)&lt;=1),SUMIF(C2:C112,C109,AS2:AS112),IF(AND(AT109=1,M109="F",SUMIF(C2:C112,C109,AS2:AS112)&gt;1),1,"")))</f>
        <v>1</v>
      </c>
      <c r="AV109" s="388" t="str">
        <f>IF(AT109=0,"",IF(AND(AT109=3,M109="F",SUMIF(C2:C112,C109,AS2:AS112)&lt;=1),SUMIF(C2:C112,C109,AS2:AS112),IF(AND(AT109=3,M109="F",SUMIF(C2:C112,C109,AS2:AS112)&gt;1),1,"")))</f>
        <v/>
      </c>
      <c r="AW109" s="388">
        <f>SUMIF(C2:C112,C109,O2:O112)</f>
        <v>1</v>
      </c>
      <c r="AX109" s="388">
        <f>IF(AND(M109="F",AS109&lt;&gt;0),SUMIF(C2:C112,C109,W2:W112),0)</f>
        <v>54121.599999999999</v>
      </c>
      <c r="AY109" s="388">
        <f t="shared" si="100"/>
        <v>54121.599999999999</v>
      </c>
      <c r="AZ109" s="388" t="str">
        <f t="shared" si="101"/>
        <v/>
      </c>
      <c r="BA109" s="388">
        <f t="shared" si="102"/>
        <v>0</v>
      </c>
      <c r="BB109" s="388">
        <f t="shared" si="115"/>
        <v>12500</v>
      </c>
      <c r="BC109" s="388">
        <f t="shared" si="116"/>
        <v>0</v>
      </c>
      <c r="BD109" s="388">
        <f t="shared" si="117"/>
        <v>3355.5391999999997</v>
      </c>
      <c r="BE109" s="388">
        <f t="shared" si="118"/>
        <v>784.76319999999998</v>
      </c>
      <c r="BF109" s="388">
        <f t="shared" si="119"/>
        <v>6462.1190400000005</v>
      </c>
      <c r="BG109" s="388">
        <f t="shared" si="120"/>
        <v>390.21673600000003</v>
      </c>
      <c r="BH109" s="388">
        <f t="shared" si="121"/>
        <v>0</v>
      </c>
      <c r="BI109" s="388">
        <f t="shared" si="122"/>
        <v>299.56305600000002</v>
      </c>
      <c r="BJ109" s="388">
        <f t="shared" si="123"/>
        <v>411.32416000000001</v>
      </c>
      <c r="BK109" s="388">
        <f t="shared" si="124"/>
        <v>0</v>
      </c>
      <c r="BL109" s="388">
        <f t="shared" si="103"/>
        <v>11703.525392000001</v>
      </c>
      <c r="BM109" s="388">
        <f t="shared" si="104"/>
        <v>0</v>
      </c>
      <c r="BN109" s="388">
        <f t="shared" si="125"/>
        <v>13750</v>
      </c>
      <c r="BO109" s="388">
        <f t="shared" si="126"/>
        <v>0</v>
      </c>
      <c r="BP109" s="388">
        <f t="shared" si="127"/>
        <v>3355.5391999999997</v>
      </c>
      <c r="BQ109" s="388">
        <f t="shared" si="128"/>
        <v>784.76319999999998</v>
      </c>
      <c r="BR109" s="388">
        <f t="shared" si="129"/>
        <v>6050.7948799999995</v>
      </c>
      <c r="BS109" s="388">
        <f t="shared" si="130"/>
        <v>390.21673600000003</v>
      </c>
      <c r="BT109" s="388">
        <f t="shared" si="131"/>
        <v>0</v>
      </c>
      <c r="BU109" s="388">
        <f t="shared" si="132"/>
        <v>299.56305600000002</v>
      </c>
      <c r="BV109" s="388">
        <f t="shared" si="133"/>
        <v>330.14176000000003</v>
      </c>
      <c r="BW109" s="388">
        <f t="shared" si="134"/>
        <v>0</v>
      </c>
      <c r="BX109" s="388">
        <f t="shared" si="105"/>
        <v>11211.018832</v>
      </c>
      <c r="BY109" s="388">
        <f t="shared" si="106"/>
        <v>0</v>
      </c>
      <c r="BZ109" s="388">
        <f t="shared" si="107"/>
        <v>1250</v>
      </c>
      <c r="CA109" s="388">
        <f t="shared" si="108"/>
        <v>0</v>
      </c>
      <c r="CB109" s="388">
        <f t="shared" si="109"/>
        <v>0</v>
      </c>
      <c r="CC109" s="388">
        <f t="shared" si="135"/>
        <v>0</v>
      </c>
      <c r="CD109" s="388">
        <f t="shared" si="136"/>
        <v>-411.32416000000052</v>
      </c>
      <c r="CE109" s="388">
        <f t="shared" si="137"/>
        <v>0</v>
      </c>
      <c r="CF109" s="388">
        <f t="shared" si="138"/>
        <v>0</v>
      </c>
      <c r="CG109" s="388">
        <f t="shared" si="139"/>
        <v>0</v>
      </c>
      <c r="CH109" s="388">
        <f t="shared" si="140"/>
        <v>-81.182399999999973</v>
      </c>
      <c r="CI109" s="388">
        <f t="shared" si="141"/>
        <v>0</v>
      </c>
      <c r="CJ109" s="388">
        <f t="shared" si="110"/>
        <v>-492.50656000000049</v>
      </c>
      <c r="CK109" s="388" t="str">
        <f t="shared" si="111"/>
        <v/>
      </c>
      <c r="CL109" s="388" t="str">
        <f t="shared" si="112"/>
        <v/>
      </c>
      <c r="CM109" s="388" t="str">
        <f t="shared" si="113"/>
        <v/>
      </c>
      <c r="CN109" s="388" t="str">
        <f t="shared" si="114"/>
        <v>0481-09</v>
      </c>
    </row>
    <row r="110" spans="1:92" ht="15.75" thickBot="1">
      <c r="A110" s="377" t="s">
        <v>162</v>
      </c>
      <c r="B110" s="377" t="s">
        <v>163</v>
      </c>
      <c r="C110" s="377" t="s">
        <v>355</v>
      </c>
      <c r="D110" s="377" t="s">
        <v>356</v>
      </c>
      <c r="E110" s="377" t="s">
        <v>542</v>
      </c>
      <c r="F110" s="383" t="s">
        <v>543</v>
      </c>
      <c r="G110" s="377" t="s">
        <v>544</v>
      </c>
      <c r="H110" s="379"/>
      <c r="I110" s="379"/>
      <c r="J110" s="377" t="s">
        <v>192</v>
      </c>
      <c r="K110" s="377" t="s">
        <v>357</v>
      </c>
      <c r="L110" s="377" t="s">
        <v>177</v>
      </c>
      <c r="M110" s="377" t="s">
        <v>172</v>
      </c>
      <c r="N110" s="377" t="s">
        <v>173</v>
      </c>
      <c r="O110" s="380">
        <v>1</v>
      </c>
      <c r="P110" s="386">
        <v>0.7</v>
      </c>
      <c r="Q110" s="386">
        <v>0.7</v>
      </c>
      <c r="R110" s="381">
        <v>80</v>
      </c>
      <c r="S110" s="386">
        <v>0.7</v>
      </c>
      <c r="T110" s="381">
        <v>36255.71</v>
      </c>
      <c r="U110" s="381">
        <v>0</v>
      </c>
      <c r="V110" s="381">
        <v>15984.92</v>
      </c>
      <c r="W110" s="381">
        <v>40520.480000000003</v>
      </c>
      <c r="X110" s="381">
        <v>17512.53</v>
      </c>
      <c r="Y110" s="381">
        <v>40520.480000000003</v>
      </c>
      <c r="Z110" s="381">
        <v>18018.79</v>
      </c>
      <c r="AA110" s="377" t="s">
        <v>358</v>
      </c>
      <c r="AB110" s="377" t="s">
        <v>359</v>
      </c>
      <c r="AC110" s="377" t="s">
        <v>360</v>
      </c>
      <c r="AD110" s="377" t="s">
        <v>361</v>
      </c>
      <c r="AE110" s="377" t="s">
        <v>357</v>
      </c>
      <c r="AF110" s="377" t="s">
        <v>237</v>
      </c>
      <c r="AG110" s="377" t="s">
        <v>179</v>
      </c>
      <c r="AH110" s="382">
        <v>27.83</v>
      </c>
      <c r="AI110" s="382">
        <v>26865.4</v>
      </c>
      <c r="AJ110" s="377" t="s">
        <v>180</v>
      </c>
      <c r="AK110" s="377" t="s">
        <v>181</v>
      </c>
      <c r="AL110" s="377" t="s">
        <v>182</v>
      </c>
      <c r="AM110" s="377" t="s">
        <v>183</v>
      </c>
      <c r="AN110" s="377" t="s">
        <v>66</v>
      </c>
      <c r="AO110" s="380">
        <v>80</v>
      </c>
      <c r="AP110" s="386">
        <v>1</v>
      </c>
      <c r="AQ110" s="386">
        <v>0.7</v>
      </c>
      <c r="AR110" s="384" t="s">
        <v>184</v>
      </c>
      <c r="AS110" s="388">
        <f t="shared" si="98"/>
        <v>0.7</v>
      </c>
      <c r="AT110">
        <f t="shared" si="99"/>
        <v>1</v>
      </c>
      <c r="AU110" s="388">
        <f>IF(AT110=0,"",IF(AND(AT110=1,M110="F",SUMIF(C2:C112,C110,AS2:AS112)&lt;=1),SUMIF(C2:C112,C110,AS2:AS112),IF(AND(AT110=1,M110="F",SUMIF(C2:C112,C110,AS2:AS112)&gt;1),1,"")))</f>
        <v>1</v>
      </c>
      <c r="AV110" s="388" t="str">
        <f>IF(AT110=0,"",IF(AND(AT110=3,M110="F",SUMIF(C2:C112,C110,AS2:AS112)&lt;=1),SUMIF(C2:C112,C110,AS2:AS112),IF(AND(AT110=3,M110="F",SUMIF(C2:C112,C110,AS2:AS112)&gt;1),1,"")))</f>
        <v/>
      </c>
      <c r="AW110" s="388">
        <f>SUMIF(C2:C112,C110,O2:O112)</f>
        <v>2</v>
      </c>
      <c r="AX110" s="388">
        <f>IF(AND(M110="F",AS110&lt;&gt;0),SUMIF(C2:C112,C110,W2:W112),0)</f>
        <v>57886.400000000001</v>
      </c>
      <c r="AY110" s="388">
        <f t="shared" si="100"/>
        <v>40520.480000000003</v>
      </c>
      <c r="AZ110" s="388" t="str">
        <f t="shared" si="101"/>
        <v/>
      </c>
      <c r="BA110" s="388">
        <f t="shared" si="102"/>
        <v>0</v>
      </c>
      <c r="BB110" s="388">
        <f t="shared" si="115"/>
        <v>8750</v>
      </c>
      <c r="BC110" s="388">
        <f t="shared" si="116"/>
        <v>0</v>
      </c>
      <c r="BD110" s="388">
        <f t="shared" si="117"/>
        <v>2512.2697600000001</v>
      </c>
      <c r="BE110" s="388">
        <f t="shared" si="118"/>
        <v>587.54696000000013</v>
      </c>
      <c r="BF110" s="388">
        <f t="shared" si="119"/>
        <v>4838.1453120000006</v>
      </c>
      <c r="BG110" s="388">
        <f t="shared" si="120"/>
        <v>292.15266080000004</v>
      </c>
      <c r="BH110" s="388">
        <f t="shared" si="121"/>
        <v>0</v>
      </c>
      <c r="BI110" s="388">
        <f t="shared" si="122"/>
        <v>224.28085680000001</v>
      </c>
      <c r="BJ110" s="388">
        <f t="shared" si="123"/>
        <v>307.955648</v>
      </c>
      <c r="BK110" s="388">
        <f t="shared" si="124"/>
        <v>0</v>
      </c>
      <c r="BL110" s="388">
        <f t="shared" si="103"/>
        <v>8762.3511976000009</v>
      </c>
      <c r="BM110" s="388">
        <f t="shared" si="104"/>
        <v>0</v>
      </c>
      <c r="BN110" s="388">
        <f t="shared" si="125"/>
        <v>9625</v>
      </c>
      <c r="BO110" s="388">
        <f t="shared" si="126"/>
        <v>0</v>
      </c>
      <c r="BP110" s="388">
        <f t="shared" si="127"/>
        <v>2512.2697600000001</v>
      </c>
      <c r="BQ110" s="388">
        <f t="shared" si="128"/>
        <v>587.54696000000013</v>
      </c>
      <c r="BR110" s="388">
        <f t="shared" si="129"/>
        <v>4530.1896640000004</v>
      </c>
      <c r="BS110" s="388">
        <f t="shared" si="130"/>
        <v>292.15266080000004</v>
      </c>
      <c r="BT110" s="388">
        <f t="shared" si="131"/>
        <v>0</v>
      </c>
      <c r="BU110" s="388">
        <f t="shared" si="132"/>
        <v>224.28085680000001</v>
      </c>
      <c r="BV110" s="388">
        <f t="shared" si="133"/>
        <v>247.17492800000002</v>
      </c>
      <c r="BW110" s="388">
        <f t="shared" si="134"/>
        <v>0</v>
      </c>
      <c r="BX110" s="388">
        <f t="shared" si="105"/>
        <v>8393.614829600001</v>
      </c>
      <c r="BY110" s="388">
        <f t="shared" si="106"/>
        <v>0</v>
      </c>
      <c r="BZ110" s="388">
        <f t="shared" si="107"/>
        <v>875</v>
      </c>
      <c r="CA110" s="388">
        <f t="shared" si="108"/>
        <v>0</v>
      </c>
      <c r="CB110" s="388">
        <f t="shared" si="109"/>
        <v>0</v>
      </c>
      <c r="CC110" s="388">
        <f t="shared" si="135"/>
        <v>0</v>
      </c>
      <c r="CD110" s="388">
        <f t="shared" si="136"/>
        <v>-307.95564800000039</v>
      </c>
      <c r="CE110" s="388">
        <f t="shared" si="137"/>
        <v>0</v>
      </c>
      <c r="CF110" s="388">
        <f t="shared" si="138"/>
        <v>0</v>
      </c>
      <c r="CG110" s="388">
        <f t="shared" si="139"/>
        <v>0</v>
      </c>
      <c r="CH110" s="388">
        <f t="shared" si="140"/>
        <v>-60.780719999999988</v>
      </c>
      <c r="CI110" s="388">
        <f t="shared" si="141"/>
        <v>0</v>
      </c>
      <c r="CJ110" s="388">
        <f t="shared" si="110"/>
        <v>-368.73636800000037</v>
      </c>
      <c r="CK110" s="388" t="str">
        <f t="shared" si="111"/>
        <v/>
      </c>
      <c r="CL110" s="388" t="str">
        <f t="shared" si="112"/>
        <v/>
      </c>
      <c r="CM110" s="388" t="str">
        <f t="shared" si="113"/>
        <v/>
      </c>
      <c r="CN110" s="388" t="str">
        <f t="shared" si="114"/>
        <v>0450-75</v>
      </c>
    </row>
    <row r="111" spans="1:92" ht="15.75" thickBot="1">
      <c r="A111" s="377" t="s">
        <v>162</v>
      </c>
      <c r="B111" s="377" t="s">
        <v>163</v>
      </c>
      <c r="C111" s="377" t="s">
        <v>363</v>
      </c>
      <c r="D111" s="377" t="s">
        <v>364</v>
      </c>
      <c r="E111" s="377" t="s">
        <v>542</v>
      </c>
      <c r="F111" s="383" t="s">
        <v>543</v>
      </c>
      <c r="G111" s="377" t="s">
        <v>544</v>
      </c>
      <c r="H111" s="379"/>
      <c r="I111" s="379"/>
      <c r="J111" s="377" t="s">
        <v>169</v>
      </c>
      <c r="K111" s="377" t="s">
        <v>365</v>
      </c>
      <c r="L111" s="377" t="s">
        <v>179</v>
      </c>
      <c r="M111" s="377" t="s">
        <v>172</v>
      </c>
      <c r="N111" s="377" t="s">
        <v>173</v>
      </c>
      <c r="O111" s="380">
        <v>1</v>
      </c>
      <c r="P111" s="386">
        <v>1</v>
      </c>
      <c r="Q111" s="386">
        <v>1</v>
      </c>
      <c r="R111" s="381">
        <v>80</v>
      </c>
      <c r="S111" s="386">
        <v>1</v>
      </c>
      <c r="T111" s="381">
        <v>17115.36</v>
      </c>
      <c r="U111" s="381">
        <v>0</v>
      </c>
      <c r="V111" s="381">
        <v>9830.91</v>
      </c>
      <c r="W111" s="381">
        <v>36192</v>
      </c>
      <c r="X111" s="381">
        <v>20326.490000000002</v>
      </c>
      <c r="Y111" s="381">
        <v>36192</v>
      </c>
      <c r="Z111" s="381">
        <v>21247.15</v>
      </c>
      <c r="AA111" s="377" t="s">
        <v>366</v>
      </c>
      <c r="AB111" s="377" t="s">
        <v>367</v>
      </c>
      <c r="AC111" s="377" t="s">
        <v>368</v>
      </c>
      <c r="AD111" s="377" t="s">
        <v>288</v>
      </c>
      <c r="AE111" s="377" t="s">
        <v>365</v>
      </c>
      <c r="AF111" s="377" t="s">
        <v>210</v>
      </c>
      <c r="AG111" s="377" t="s">
        <v>179</v>
      </c>
      <c r="AH111" s="382">
        <v>17.399999999999999</v>
      </c>
      <c r="AI111" s="380">
        <v>720</v>
      </c>
      <c r="AJ111" s="377" t="s">
        <v>180</v>
      </c>
      <c r="AK111" s="377" t="s">
        <v>181</v>
      </c>
      <c r="AL111" s="377" t="s">
        <v>182</v>
      </c>
      <c r="AM111" s="377" t="s">
        <v>183</v>
      </c>
      <c r="AN111" s="377" t="s">
        <v>66</v>
      </c>
      <c r="AO111" s="380">
        <v>80</v>
      </c>
      <c r="AP111" s="386">
        <v>1</v>
      </c>
      <c r="AQ111" s="386">
        <v>1</v>
      </c>
      <c r="AR111" s="384" t="s">
        <v>184</v>
      </c>
      <c r="AS111" s="388">
        <f t="shared" si="98"/>
        <v>1</v>
      </c>
      <c r="AT111">
        <f t="shared" si="99"/>
        <v>1</v>
      </c>
      <c r="AU111" s="388">
        <f>IF(AT111=0,"",IF(AND(AT111=1,M111="F",SUMIF(C2:C112,C111,AS2:AS112)&lt;=1),SUMIF(C2:C112,C111,AS2:AS112),IF(AND(AT111=1,M111="F",SUMIF(C2:C112,C111,AS2:AS112)&gt;1),1,"")))</f>
        <v>1</v>
      </c>
      <c r="AV111" s="388" t="str">
        <f>IF(AT111=0,"",IF(AND(AT111=3,M111="F",SUMIF(C2:C112,C111,AS2:AS112)&lt;=1),SUMIF(C2:C112,C111,AS2:AS112),IF(AND(AT111=3,M111="F",SUMIF(C2:C112,C111,AS2:AS112)&gt;1),1,"")))</f>
        <v/>
      </c>
      <c r="AW111" s="388">
        <f>SUMIF(C2:C112,C111,O2:O112)</f>
        <v>2</v>
      </c>
      <c r="AX111" s="388">
        <f>IF(AND(M111="F",AS111&lt;&gt;0),SUMIF(C2:C112,C111,W2:W112),0)</f>
        <v>36192</v>
      </c>
      <c r="AY111" s="388">
        <f t="shared" si="100"/>
        <v>36192</v>
      </c>
      <c r="AZ111" s="388" t="str">
        <f t="shared" si="101"/>
        <v/>
      </c>
      <c r="BA111" s="388">
        <f t="shared" si="102"/>
        <v>0</v>
      </c>
      <c r="BB111" s="388">
        <f t="shared" si="115"/>
        <v>12500</v>
      </c>
      <c r="BC111" s="388">
        <f t="shared" si="116"/>
        <v>0</v>
      </c>
      <c r="BD111" s="388">
        <f t="shared" si="117"/>
        <v>2243.904</v>
      </c>
      <c r="BE111" s="388">
        <f t="shared" si="118"/>
        <v>524.78399999999999</v>
      </c>
      <c r="BF111" s="388">
        <f t="shared" si="119"/>
        <v>4321.3248000000003</v>
      </c>
      <c r="BG111" s="388">
        <f t="shared" si="120"/>
        <v>260.94432</v>
      </c>
      <c r="BH111" s="388">
        <f t="shared" si="121"/>
        <v>0</v>
      </c>
      <c r="BI111" s="388">
        <f t="shared" si="122"/>
        <v>200.32272</v>
      </c>
      <c r="BJ111" s="388">
        <f t="shared" si="123"/>
        <v>275.05919999999998</v>
      </c>
      <c r="BK111" s="388">
        <f t="shared" si="124"/>
        <v>0</v>
      </c>
      <c r="BL111" s="388">
        <f t="shared" si="103"/>
        <v>7826.3390399999998</v>
      </c>
      <c r="BM111" s="388">
        <f t="shared" si="104"/>
        <v>0</v>
      </c>
      <c r="BN111" s="388">
        <f t="shared" si="125"/>
        <v>13750</v>
      </c>
      <c r="BO111" s="388">
        <f t="shared" si="126"/>
        <v>0</v>
      </c>
      <c r="BP111" s="388">
        <f t="shared" si="127"/>
        <v>2243.904</v>
      </c>
      <c r="BQ111" s="388">
        <f t="shared" si="128"/>
        <v>524.78399999999999</v>
      </c>
      <c r="BR111" s="388">
        <f t="shared" si="129"/>
        <v>4046.2655999999997</v>
      </c>
      <c r="BS111" s="388">
        <f t="shared" si="130"/>
        <v>260.94432</v>
      </c>
      <c r="BT111" s="388">
        <f t="shared" si="131"/>
        <v>0</v>
      </c>
      <c r="BU111" s="388">
        <f t="shared" si="132"/>
        <v>200.32272</v>
      </c>
      <c r="BV111" s="388">
        <f t="shared" si="133"/>
        <v>220.77120000000002</v>
      </c>
      <c r="BW111" s="388">
        <f t="shared" si="134"/>
        <v>0</v>
      </c>
      <c r="BX111" s="388">
        <f t="shared" si="105"/>
        <v>7496.9918399999997</v>
      </c>
      <c r="BY111" s="388">
        <f t="shared" si="106"/>
        <v>0</v>
      </c>
      <c r="BZ111" s="388">
        <f t="shared" si="107"/>
        <v>1250</v>
      </c>
      <c r="CA111" s="388">
        <f t="shared" si="108"/>
        <v>0</v>
      </c>
      <c r="CB111" s="388">
        <f t="shared" si="109"/>
        <v>0</v>
      </c>
      <c r="CC111" s="388">
        <f t="shared" si="135"/>
        <v>0</v>
      </c>
      <c r="CD111" s="388">
        <f t="shared" si="136"/>
        <v>-275.05920000000032</v>
      </c>
      <c r="CE111" s="388">
        <f t="shared" si="137"/>
        <v>0</v>
      </c>
      <c r="CF111" s="388">
        <f t="shared" si="138"/>
        <v>0</v>
      </c>
      <c r="CG111" s="388">
        <f t="shared" si="139"/>
        <v>0</v>
      </c>
      <c r="CH111" s="388">
        <f t="shared" si="140"/>
        <v>-54.287999999999982</v>
      </c>
      <c r="CI111" s="388">
        <f t="shared" si="141"/>
        <v>0</v>
      </c>
      <c r="CJ111" s="388">
        <f t="shared" si="110"/>
        <v>-329.34720000000027</v>
      </c>
      <c r="CK111" s="388" t="str">
        <f t="shared" si="111"/>
        <v/>
      </c>
      <c r="CL111" s="388" t="str">
        <f t="shared" si="112"/>
        <v/>
      </c>
      <c r="CM111" s="388" t="str">
        <f t="shared" si="113"/>
        <v/>
      </c>
      <c r="CN111" s="388" t="str">
        <f t="shared" si="114"/>
        <v>0450-75</v>
      </c>
    </row>
    <row r="112" spans="1:92" ht="15.75" thickBot="1">
      <c r="A112" s="377" t="s">
        <v>162</v>
      </c>
      <c r="B112" s="377" t="s">
        <v>163</v>
      </c>
      <c r="C112" s="377" t="s">
        <v>376</v>
      </c>
      <c r="D112" s="377" t="s">
        <v>377</v>
      </c>
      <c r="E112" s="377" t="s">
        <v>542</v>
      </c>
      <c r="F112" s="383" t="s">
        <v>543</v>
      </c>
      <c r="G112" s="377" t="s">
        <v>544</v>
      </c>
      <c r="H112" s="379"/>
      <c r="I112" s="379"/>
      <c r="J112" s="377" t="s">
        <v>169</v>
      </c>
      <c r="K112" s="377" t="s">
        <v>378</v>
      </c>
      <c r="L112" s="377" t="s">
        <v>202</v>
      </c>
      <c r="M112" s="377" t="s">
        <v>172</v>
      </c>
      <c r="N112" s="377" t="s">
        <v>173</v>
      </c>
      <c r="O112" s="380">
        <v>1</v>
      </c>
      <c r="P112" s="386">
        <v>1</v>
      </c>
      <c r="Q112" s="386">
        <v>1</v>
      </c>
      <c r="R112" s="381">
        <v>80</v>
      </c>
      <c r="S112" s="386">
        <v>1</v>
      </c>
      <c r="T112" s="381">
        <v>19096.060000000001</v>
      </c>
      <c r="U112" s="381">
        <v>0</v>
      </c>
      <c r="V112" s="381">
        <v>10561</v>
      </c>
      <c r="W112" s="381">
        <v>42889.599999999999</v>
      </c>
      <c r="X112" s="381">
        <v>21774.84</v>
      </c>
      <c r="Y112" s="381">
        <v>42889.599999999999</v>
      </c>
      <c r="Z112" s="381">
        <v>22634.54</v>
      </c>
      <c r="AA112" s="377" t="s">
        <v>379</v>
      </c>
      <c r="AB112" s="377" t="s">
        <v>298</v>
      </c>
      <c r="AC112" s="377" t="s">
        <v>380</v>
      </c>
      <c r="AD112" s="377" t="s">
        <v>197</v>
      </c>
      <c r="AE112" s="377" t="s">
        <v>378</v>
      </c>
      <c r="AF112" s="377" t="s">
        <v>262</v>
      </c>
      <c r="AG112" s="377" t="s">
        <v>179</v>
      </c>
      <c r="AH112" s="382">
        <v>20.62</v>
      </c>
      <c r="AI112" s="382">
        <v>1760.6</v>
      </c>
      <c r="AJ112" s="377" t="s">
        <v>180</v>
      </c>
      <c r="AK112" s="377" t="s">
        <v>181</v>
      </c>
      <c r="AL112" s="377" t="s">
        <v>182</v>
      </c>
      <c r="AM112" s="377" t="s">
        <v>183</v>
      </c>
      <c r="AN112" s="377" t="s">
        <v>66</v>
      </c>
      <c r="AO112" s="380">
        <v>80</v>
      </c>
      <c r="AP112" s="386">
        <v>1</v>
      </c>
      <c r="AQ112" s="386">
        <v>1</v>
      </c>
      <c r="AR112" s="384" t="s">
        <v>184</v>
      </c>
      <c r="AS112" s="388">
        <f t="shared" si="98"/>
        <v>1</v>
      </c>
      <c r="AT112">
        <f t="shared" si="99"/>
        <v>1</v>
      </c>
      <c r="AU112" s="388">
        <f>IF(AT112=0,"",IF(AND(AT112=1,M112="F",SUMIF(C2:C112,C112,AS2:AS112)&lt;=1),SUMIF(C2:C112,C112,AS2:AS112),IF(AND(AT112=1,M112="F",SUMIF(C2:C112,C112,AS2:AS112)&gt;1),1,"")))</f>
        <v>1</v>
      </c>
      <c r="AV112" s="388" t="str">
        <f>IF(AT112=0,"",IF(AND(AT112=3,M112="F",SUMIF(C2:C112,C112,AS2:AS112)&lt;=1),SUMIF(C2:C112,C112,AS2:AS112),IF(AND(AT112=3,M112="F",SUMIF(C2:C112,C112,AS2:AS112)&gt;1),1,"")))</f>
        <v/>
      </c>
      <c r="AW112" s="388">
        <f>SUMIF(C2:C112,C112,O2:O112)</f>
        <v>2</v>
      </c>
      <c r="AX112" s="388">
        <f>IF(AND(M112="F",AS112&lt;&gt;0),SUMIF(C2:C112,C112,W2:W112),0)</f>
        <v>42889.599999999999</v>
      </c>
      <c r="AY112" s="388">
        <f t="shared" si="100"/>
        <v>42889.599999999999</v>
      </c>
      <c r="AZ112" s="388" t="str">
        <f t="shared" si="101"/>
        <v/>
      </c>
      <c r="BA112" s="388">
        <f t="shared" si="102"/>
        <v>0</v>
      </c>
      <c r="BB112" s="388">
        <f t="shared" si="115"/>
        <v>12500</v>
      </c>
      <c r="BC112" s="388">
        <f t="shared" si="116"/>
        <v>0</v>
      </c>
      <c r="BD112" s="388">
        <f t="shared" si="117"/>
        <v>2659.1551999999997</v>
      </c>
      <c r="BE112" s="388">
        <f t="shared" si="118"/>
        <v>621.89920000000006</v>
      </c>
      <c r="BF112" s="388">
        <f t="shared" si="119"/>
        <v>5121.0182400000003</v>
      </c>
      <c r="BG112" s="388">
        <f t="shared" si="120"/>
        <v>309.234016</v>
      </c>
      <c r="BH112" s="388">
        <f t="shared" si="121"/>
        <v>0</v>
      </c>
      <c r="BI112" s="388">
        <f t="shared" si="122"/>
        <v>237.393936</v>
      </c>
      <c r="BJ112" s="388">
        <f t="shared" si="123"/>
        <v>325.96096</v>
      </c>
      <c r="BK112" s="388">
        <f t="shared" si="124"/>
        <v>0</v>
      </c>
      <c r="BL112" s="388">
        <f t="shared" si="103"/>
        <v>9274.6615520000014</v>
      </c>
      <c r="BM112" s="388">
        <f t="shared" si="104"/>
        <v>0</v>
      </c>
      <c r="BN112" s="388">
        <f t="shared" si="125"/>
        <v>13750</v>
      </c>
      <c r="BO112" s="388">
        <f t="shared" si="126"/>
        <v>0</v>
      </c>
      <c r="BP112" s="388">
        <f t="shared" si="127"/>
        <v>2659.1551999999997</v>
      </c>
      <c r="BQ112" s="388">
        <f t="shared" si="128"/>
        <v>621.89920000000006</v>
      </c>
      <c r="BR112" s="388">
        <f t="shared" si="129"/>
        <v>4795.05728</v>
      </c>
      <c r="BS112" s="388">
        <f t="shared" si="130"/>
        <v>309.234016</v>
      </c>
      <c r="BT112" s="388">
        <f t="shared" si="131"/>
        <v>0</v>
      </c>
      <c r="BU112" s="388">
        <f t="shared" si="132"/>
        <v>237.393936</v>
      </c>
      <c r="BV112" s="388">
        <f t="shared" si="133"/>
        <v>261.62655999999998</v>
      </c>
      <c r="BW112" s="388">
        <f t="shared" si="134"/>
        <v>0</v>
      </c>
      <c r="BX112" s="388">
        <f t="shared" si="105"/>
        <v>8884.3661920000013</v>
      </c>
      <c r="BY112" s="388">
        <f t="shared" si="106"/>
        <v>0</v>
      </c>
      <c r="BZ112" s="388">
        <f t="shared" si="107"/>
        <v>1250</v>
      </c>
      <c r="CA112" s="388">
        <f t="shared" si="108"/>
        <v>0</v>
      </c>
      <c r="CB112" s="388">
        <f t="shared" si="109"/>
        <v>0</v>
      </c>
      <c r="CC112" s="388">
        <f t="shared" si="135"/>
        <v>0</v>
      </c>
      <c r="CD112" s="388">
        <f t="shared" si="136"/>
        <v>-325.9609600000004</v>
      </c>
      <c r="CE112" s="388">
        <f t="shared" si="137"/>
        <v>0</v>
      </c>
      <c r="CF112" s="388">
        <f t="shared" si="138"/>
        <v>0</v>
      </c>
      <c r="CG112" s="388">
        <f t="shared" si="139"/>
        <v>0</v>
      </c>
      <c r="CH112" s="388">
        <f t="shared" si="140"/>
        <v>-64.334399999999974</v>
      </c>
      <c r="CI112" s="388">
        <f t="shared" si="141"/>
        <v>0</v>
      </c>
      <c r="CJ112" s="388">
        <f t="shared" si="110"/>
        <v>-390.29536000000036</v>
      </c>
      <c r="CK112" s="388" t="str">
        <f t="shared" si="111"/>
        <v/>
      </c>
      <c r="CL112" s="388" t="str">
        <f t="shared" si="112"/>
        <v/>
      </c>
      <c r="CM112" s="388" t="str">
        <f t="shared" si="113"/>
        <v/>
      </c>
      <c r="CN112" s="388" t="str">
        <f t="shared" si="114"/>
        <v>0450-75</v>
      </c>
    </row>
    <row r="114" spans="41:91" ht="21">
      <c r="AQ114" s="251" t="s">
        <v>626</v>
      </c>
    </row>
    <row r="115" spans="41:91" ht="15.75" thickBot="1">
      <c r="AR115" t="s">
        <v>593</v>
      </c>
      <c r="AS115" s="388">
        <f>SUMIFS(AS2:AS112,G2:G112,"EDMA",E2:E112,"0001",F2:F112,"00",AT2:AT112,1)</f>
        <v>25.8</v>
      </c>
      <c r="AT115" s="388">
        <f>SUMIFS(AS2:AS112,G2:G112,"EDMA",E2:E112,"0001",F2:F112,"00",AT2:AT112,3)</f>
        <v>0</v>
      </c>
      <c r="AU115" s="388">
        <f>SUMIFS(AU2:AU112,G2:G112,"EDMA",E2:E112,"0001",F2:F112,"00")</f>
        <v>28</v>
      </c>
      <c r="AV115" s="388">
        <f>SUMIFS(AV2:AV112,G2:G112,"EDMA",E2:E112,"0001",F2:F112,"00")</f>
        <v>0</v>
      </c>
      <c r="AW115" s="388">
        <f>SUMIFS(AW2:AW112,G2:G112,"EDMA",E2:E112,"0001",F2:F112,"00")</f>
        <v>47</v>
      </c>
      <c r="AX115" s="388">
        <f>SUMIFS(AX2:AX112,G2:G112,"EDMA",E2:E112,"0001",F2:F112,"00")</f>
        <v>1647339.2</v>
      </c>
      <c r="AY115" s="388">
        <f>SUMIFS(AY2:AY112,G2:G112,"EDMA",E2:E112,"0001",F2:F112,"00")</f>
        <v>1519671.9200000002</v>
      </c>
      <c r="AZ115" s="388">
        <f>SUMIFS(AZ2:AZ112,G2:G112,"EDMA",E2:E112,"0001",F2:F112,"00")</f>
        <v>0</v>
      </c>
      <c r="BA115" s="388">
        <f>SUMIFS(BA2:BA112,G2:G112,"EDMA",E2:E112,"0001",F2:F112,"00")</f>
        <v>0</v>
      </c>
      <c r="BB115" s="388">
        <f>SUMIFS(BB2:BB112,G2:G112,"EDMA",E2:E112,"0001",F2:F112,"00")</f>
        <v>322500</v>
      </c>
      <c r="BC115" s="388">
        <f>SUMIFS(BC2:BC112,G2:G112,"EDMA",E2:E112,"0001",F2:F112,"00")</f>
        <v>0</v>
      </c>
      <c r="BD115" s="388">
        <f>SUMIFS(BD2:BD112,G2:G112,"EDMA",E2:E112,"0001",F2:F112,"00")</f>
        <v>94219.659040000013</v>
      </c>
      <c r="BE115" s="388">
        <f>SUMIFS(BE2:BE112,G2:G112,"EDMA",E2:E112,"0001",F2:F112,"00")</f>
        <v>22035.242840000003</v>
      </c>
      <c r="BF115" s="388">
        <f>SUMIFS(BF2:BF112,G2:G112,"EDMA",E2:E112,"0001",F2:F112,"00")</f>
        <v>181448.82724799999</v>
      </c>
      <c r="BG115" s="388">
        <f>SUMIFS(BG2:BG112,G2:G112,"EDMA",E2:E112,"0001",F2:F112,"00")</f>
        <v>10956.834543199999</v>
      </c>
      <c r="BH115" s="388">
        <f>SUMIFS(BH2:BH112,G2:G112,"EDMA",E2:E112,"0001",F2:F112,"00")</f>
        <v>0</v>
      </c>
      <c r="BI115" s="388">
        <f>SUMIFS(BI2:BI112,G2:G112,"EDMA",E2:E112,"0001",F2:F112,"00")</f>
        <v>7171.9160291999997</v>
      </c>
      <c r="BJ115" s="388">
        <f>SUMIFS(BJ2:BJ112,G2:G112,"EDMA",E2:E112,"0001",F2:F112,"00")</f>
        <v>11549.506592000002</v>
      </c>
      <c r="BK115" s="388">
        <f>SUMIFS(BK2:BK112,G2:G112,"EDMA",E2:E112,"0001",F2:F112,"00")</f>
        <v>0</v>
      </c>
      <c r="BL115" s="388">
        <f>SUMIFS(BL2:BL112,G2:G112,"EDMA",E2:E112,"0001",F2:F112,"00")</f>
        <v>327381.98629240005</v>
      </c>
      <c r="BM115" s="388">
        <f>SUMIFS(BM2:BM112,G2:G112,"EDMA",E2:E112,"0001",F2:F112,"00")</f>
        <v>0</v>
      </c>
      <c r="BN115" s="388">
        <f>SUMIFS(BN2:BN112,G2:G112,"EDMA",E2:E112,"0001",F2:F112,"00")</f>
        <v>354750</v>
      </c>
      <c r="BO115" s="388">
        <f>SUMIFS(BO2:BO112,G2:G112,"EDMA",E2:E112,"0001",F2:F112,"00")</f>
        <v>0</v>
      </c>
      <c r="BP115" s="388">
        <f>SUMIFS(BP2:BP112,G2:G112,"EDMA",E2:E112,"0001",F2:F112,"00")</f>
        <v>94219.659040000013</v>
      </c>
      <c r="BQ115" s="388">
        <f>SUMIFS(BQ2:BQ112,G2:G112,"EDMA",E2:E112,"0001",F2:F112,"00")</f>
        <v>22035.242840000003</v>
      </c>
      <c r="BR115" s="388">
        <f>SUMIFS(BR2:BR112,G2:G112,"EDMA",E2:E112,"0001",F2:F112,"00")</f>
        <v>169899.32065599997</v>
      </c>
      <c r="BS115" s="388">
        <f>SUMIFS(BS2:BS112,G2:G112,"EDMA",E2:E112,"0001",F2:F112,"00")</f>
        <v>10956.834543199999</v>
      </c>
      <c r="BT115" s="388">
        <f>SUMIFS(BT2:BT112,G2:G112,"EDMA",E2:E112,"0001",F2:F112,"00")</f>
        <v>0</v>
      </c>
      <c r="BU115" s="388">
        <f>SUMIFS(BU2:BU112,G2:G112,"EDMA",E2:E112,"0001",F2:F112,"00")</f>
        <v>7171.9160291999997</v>
      </c>
      <c r="BV115" s="388">
        <f>SUMIFS(BV2:BV112,G2:G112,"EDMA",E2:E112,"0001",F2:F112,"00")</f>
        <v>9269.9987120000042</v>
      </c>
      <c r="BW115" s="388">
        <f>SUMIFS(BW2:BW112,G2:G112,"EDMA",E2:E112,"0001",F2:F112,"00")</f>
        <v>0</v>
      </c>
      <c r="BX115" s="388">
        <f>SUMIFS(BX2:BX112,G2:G112,"EDMA",E2:E112,"0001",F2:F112,"00")</f>
        <v>313552.97182039998</v>
      </c>
      <c r="BY115" s="388">
        <f>SUMIFS(BY2:BY112,G2:G112,"EDMA",E2:E112,"0001",F2:F112,"00")</f>
        <v>0</v>
      </c>
      <c r="BZ115" s="388">
        <f>SUMIFS(BZ2:BZ112,G2:G112,"EDMA",E2:E112,"0001",F2:F112,"00")</f>
        <v>32250</v>
      </c>
      <c r="CA115" s="388">
        <f>SUMIFS(CA2:CA112,G2:G112,"EDMA",E2:E112,"0001",F2:F112,"00")</f>
        <v>0</v>
      </c>
      <c r="CB115" s="388">
        <f>SUMIFS(CB2:CB112,G2:G112,"EDMA",E2:E112,"0001",F2:F112,"00")</f>
        <v>0</v>
      </c>
      <c r="CC115" s="388">
        <f>SUMIFS(CC2:CC112,G2:G112,"EDMA",E2:E112,"0001",F2:F112,"00")</f>
        <v>0</v>
      </c>
      <c r="CD115" s="388">
        <f>SUMIFS(CD2:CD112,G2:G112,"EDMA",E2:E112,"0001",F2:F112,"00")</f>
        <v>-11549.506592000011</v>
      </c>
      <c r="CE115" s="388">
        <f>SUMIFS(CE2:CE112,G2:G112,"EDMA",E2:E112,"0001",F2:F112,"00")</f>
        <v>0</v>
      </c>
      <c r="CF115" s="388">
        <f>SUMIFS(CF2:CF112,G2:G112,"EDMA",E2:E112,"0001",F2:F112,"00")</f>
        <v>0</v>
      </c>
      <c r="CG115" s="388">
        <f>SUMIFS(CG2:CG112,G2:G112,"EDMA",E2:E112,"0001",F2:F112,"00")</f>
        <v>0</v>
      </c>
      <c r="CH115" s="388">
        <f>SUMIFS(CH2:CH112,G2:G112,"EDMA",E2:E112,"0001",F2:F112,"00")</f>
        <v>-2279.5078799999992</v>
      </c>
      <c r="CI115" s="388">
        <f>SUMIFS(CI2:CI112,G2:G112,"EDMA",E2:E112,"0001",F2:F112,"00")</f>
        <v>0</v>
      </c>
      <c r="CJ115" s="388">
        <f>SUMIFS(CJ2:CJ112,G2:G112,"EDMA",E2:E112,"0001",F2:F112,"00")</f>
        <v>-13829.01447200001</v>
      </c>
      <c r="CK115" s="388">
        <f>SUMIFS(CK2:CK112,G2:G112,"EDMA",E2:E112,"0001",F2:F112,"00")</f>
        <v>0</v>
      </c>
      <c r="CL115" s="388">
        <f>SUMIFS(CL2:CL112,G2:G112,"EDMA",E2:E112,"0001",F2:F112,"00")</f>
        <v>25107.42</v>
      </c>
      <c r="CM115" s="388">
        <f>SUMIFS(CM2:CM112,G2:G112,"EDMA",E2:E112,"0001",F2:F112,"00")</f>
        <v>2435.89</v>
      </c>
    </row>
    <row r="116" spans="41:91" ht="18.75">
      <c r="AQ116" s="394" t="s">
        <v>594</v>
      </c>
      <c r="AS116" s="395">
        <f t="shared" ref="AS116:CM116" si="142">SUM(AS115:AS115)</f>
        <v>25.8</v>
      </c>
      <c r="AT116" s="395">
        <f t="shared" si="142"/>
        <v>0</v>
      </c>
      <c r="AU116" s="395">
        <f t="shared" si="142"/>
        <v>28</v>
      </c>
      <c r="AV116" s="395">
        <f t="shared" si="142"/>
        <v>0</v>
      </c>
      <c r="AW116" s="395">
        <f t="shared" si="142"/>
        <v>47</v>
      </c>
      <c r="AX116" s="395">
        <f t="shared" si="142"/>
        <v>1647339.2</v>
      </c>
      <c r="AY116" s="395">
        <f t="shared" si="142"/>
        <v>1519671.9200000002</v>
      </c>
      <c r="AZ116" s="395">
        <f t="shared" si="142"/>
        <v>0</v>
      </c>
      <c r="BA116" s="395">
        <f t="shared" si="142"/>
        <v>0</v>
      </c>
      <c r="BB116" s="395">
        <f t="shared" si="142"/>
        <v>322500</v>
      </c>
      <c r="BC116" s="395">
        <f t="shared" si="142"/>
        <v>0</v>
      </c>
      <c r="BD116" s="395">
        <f t="shared" si="142"/>
        <v>94219.659040000013</v>
      </c>
      <c r="BE116" s="395">
        <f t="shared" si="142"/>
        <v>22035.242840000003</v>
      </c>
      <c r="BF116" s="395">
        <f t="shared" si="142"/>
        <v>181448.82724799999</v>
      </c>
      <c r="BG116" s="395">
        <f t="shared" si="142"/>
        <v>10956.834543199999</v>
      </c>
      <c r="BH116" s="395">
        <f t="shared" si="142"/>
        <v>0</v>
      </c>
      <c r="BI116" s="395">
        <f t="shared" si="142"/>
        <v>7171.9160291999997</v>
      </c>
      <c r="BJ116" s="395">
        <f t="shared" si="142"/>
        <v>11549.506592000002</v>
      </c>
      <c r="BK116" s="395">
        <f t="shared" si="142"/>
        <v>0</v>
      </c>
      <c r="BL116" s="395">
        <f t="shared" si="142"/>
        <v>327381.98629240005</v>
      </c>
      <c r="BM116" s="395">
        <f t="shared" si="142"/>
        <v>0</v>
      </c>
      <c r="BN116" s="395">
        <f t="shared" si="142"/>
        <v>354750</v>
      </c>
      <c r="BO116" s="395">
        <f t="shared" si="142"/>
        <v>0</v>
      </c>
      <c r="BP116" s="395">
        <f t="shared" si="142"/>
        <v>94219.659040000013</v>
      </c>
      <c r="BQ116" s="395">
        <f t="shared" si="142"/>
        <v>22035.242840000003</v>
      </c>
      <c r="BR116" s="395">
        <f t="shared" si="142"/>
        <v>169899.32065599997</v>
      </c>
      <c r="BS116" s="395">
        <f t="shared" si="142"/>
        <v>10956.834543199999</v>
      </c>
      <c r="BT116" s="395">
        <f t="shared" si="142"/>
        <v>0</v>
      </c>
      <c r="BU116" s="395">
        <f t="shared" si="142"/>
        <v>7171.9160291999997</v>
      </c>
      <c r="BV116" s="395">
        <f t="shared" si="142"/>
        <v>9269.9987120000042</v>
      </c>
      <c r="BW116" s="395">
        <f t="shared" si="142"/>
        <v>0</v>
      </c>
      <c r="BX116" s="395">
        <f t="shared" si="142"/>
        <v>313552.97182039998</v>
      </c>
      <c r="BY116" s="395">
        <f t="shared" si="142"/>
        <v>0</v>
      </c>
      <c r="BZ116" s="395">
        <f t="shared" si="142"/>
        <v>32250</v>
      </c>
      <c r="CA116" s="395">
        <f t="shared" si="142"/>
        <v>0</v>
      </c>
      <c r="CB116" s="395">
        <f t="shared" si="142"/>
        <v>0</v>
      </c>
      <c r="CC116" s="395">
        <f t="shared" si="142"/>
        <v>0</v>
      </c>
      <c r="CD116" s="395">
        <f t="shared" si="142"/>
        <v>-11549.506592000011</v>
      </c>
      <c r="CE116" s="395">
        <f t="shared" si="142"/>
        <v>0</v>
      </c>
      <c r="CF116" s="395">
        <f t="shared" si="142"/>
        <v>0</v>
      </c>
      <c r="CG116" s="395">
        <f t="shared" si="142"/>
        <v>0</v>
      </c>
      <c r="CH116" s="395">
        <f t="shared" si="142"/>
        <v>-2279.5078799999992</v>
      </c>
      <c r="CI116" s="395">
        <f t="shared" si="142"/>
        <v>0</v>
      </c>
      <c r="CJ116" s="395">
        <f t="shared" si="142"/>
        <v>-13829.01447200001</v>
      </c>
      <c r="CK116" s="395">
        <f t="shared" si="142"/>
        <v>0</v>
      </c>
      <c r="CL116" s="395">
        <f t="shared" si="142"/>
        <v>25107.42</v>
      </c>
      <c r="CM116" s="395">
        <f t="shared" si="142"/>
        <v>2435.89</v>
      </c>
    </row>
    <row r="117" spans="41:91" ht="15.75" thickBot="1">
      <c r="AR117" t="s">
        <v>602</v>
      </c>
      <c r="AS117" s="388">
        <f>SUMIFS(AS2:AS112,G2:G112,"EDMA",E2:E112,"0348",F2:F112,"00",AT2:AT112,1)</f>
        <v>9.5</v>
      </c>
      <c r="AT117" s="388">
        <f>SUMIFS(AS2:AS112,G2:G112,"EDMA",E2:E112,"0348",F2:F112,"00",AT2:AT112,3)</f>
        <v>0</v>
      </c>
      <c r="AU117" s="388">
        <f>SUMIFS(AU2:AU112,G2:G112,"EDMA",E2:E112,"0348",F2:F112,"00")</f>
        <v>14</v>
      </c>
      <c r="AV117" s="388">
        <f>SUMIFS(AV2:AV112,G2:G112,"EDMA",E2:E112,"0348",F2:F112,"00")</f>
        <v>0</v>
      </c>
      <c r="AW117" s="388">
        <f>SUMIFS(AW2:AW112,G2:G112,"EDMA",E2:E112,"0348",F2:F112,"00")</f>
        <v>28</v>
      </c>
      <c r="AX117" s="388">
        <f>SUMIFS(AX2:AX112,G2:G112,"EDMA",E2:E112,"0348",F2:F112,"00")</f>
        <v>840195.19999999984</v>
      </c>
      <c r="AY117" s="388">
        <f>SUMIFS(AY2:AY112,G2:G112,"EDMA",E2:E112,"0348",F2:F112,"00")</f>
        <v>578754.79999999993</v>
      </c>
      <c r="AZ117" s="388">
        <f>SUMIFS(AZ2:AZ112,G2:G112,"EDMA",E2:E112,"0348",F2:F112,"00")</f>
        <v>0</v>
      </c>
      <c r="BA117" s="388">
        <f>SUMIFS(BA2:BA112,G2:G112,"EDMA",E2:E112,"0348",F2:F112,"00")</f>
        <v>0</v>
      </c>
      <c r="BB117" s="388">
        <f>SUMIFS(BB2:BB112,G2:G112,"EDMA",E2:E112,"0348",F2:F112,"00")</f>
        <v>118750</v>
      </c>
      <c r="BC117" s="388">
        <f>SUMIFS(BC2:BC112,G2:G112,"EDMA",E2:E112,"0348",F2:F112,"00")</f>
        <v>0</v>
      </c>
      <c r="BD117" s="388">
        <f>SUMIFS(BD2:BD112,G2:G112,"EDMA",E2:E112,"0348",F2:F112,"00")</f>
        <v>35882.797599999998</v>
      </c>
      <c r="BE117" s="388">
        <f>SUMIFS(BE2:BE112,G2:G112,"EDMA",E2:E112,"0348",F2:F112,"00")</f>
        <v>8391.9445999999989</v>
      </c>
      <c r="BF117" s="388">
        <f>SUMIFS(BF2:BF112,G2:G112,"EDMA",E2:E112,"0348",F2:F112,"00")</f>
        <v>69103.323120000001</v>
      </c>
      <c r="BG117" s="388">
        <f>SUMIFS(BG2:BG112,G2:G112,"EDMA",E2:E112,"0348",F2:F112,"00")</f>
        <v>4172.8221080000003</v>
      </c>
      <c r="BH117" s="388">
        <f>SUMIFS(BH2:BH112,G2:G112,"EDMA",E2:E112,"0348",F2:F112,"00")</f>
        <v>0</v>
      </c>
      <c r="BI117" s="388">
        <f>SUMIFS(BI2:BI112,G2:G112,"EDMA",E2:E112,"0348",F2:F112,"00")</f>
        <v>3132.0284579999998</v>
      </c>
      <c r="BJ117" s="388">
        <f>SUMIFS(BJ2:BJ112,G2:G112,"EDMA",E2:E112,"0348",F2:F112,"00")</f>
        <v>4398.5364799999998</v>
      </c>
      <c r="BK117" s="388">
        <f>SUMIFS(BK2:BK112,G2:G112,"EDMA",E2:E112,"0348",F2:F112,"00")</f>
        <v>0</v>
      </c>
      <c r="BL117" s="388">
        <f>SUMIFS(BL2:BL112,G2:G112,"EDMA",E2:E112,"0348",F2:F112,"00")</f>
        <v>125081.45236599998</v>
      </c>
      <c r="BM117" s="388">
        <f>SUMIFS(BM2:BM112,G2:G112,"EDMA",E2:E112,"0348",F2:F112,"00")</f>
        <v>0</v>
      </c>
      <c r="BN117" s="388">
        <f>SUMIFS(BN2:BN112,G2:G112,"EDMA",E2:E112,"0348",F2:F112,"00")</f>
        <v>130625</v>
      </c>
      <c r="BO117" s="388">
        <f>SUMIFS(BO2:BO112,G2:G112,"EDMA",E2:E112,"0348",F2:F112,"00")</f>
        <v>0</v>
      </c>
      <c r="BP117" s="388">
        <f>SUMIFS(BP2:BP112,G2:G112,"EDMA",E2:E112,"0348",F2:F112,"00")</f>
        <v>35882.797599999998</v>
      </c>
      <c r="BQ117" s="388">
        <f>SUMIFS(BQ2:BQ112,G2:G112,"EDMA",E2:E112,"0348",F2:F112,"00")</f>
        <v>8391.9445999999989</v>
      </c>
      <c r="BR117" s="388">
        <f>SUMIFS(BR2:BR112,G2:G112,"EDMA",E2:E112,"0348",F2:F112,"00")</f>
        <v>64704.786639999991</v>
      </c>
      <c r="BS117" s="388">
        <f>SUMIFS(BS2:BS112,G2:G112,"EDMA",E2:E112,"0348",F2:F112,"00")</f>
        <v>4172.8221080000003</v>
      </c>
      <c r="BT117" s="388">
        <f>SUMIFS(BT2:BT112,G2:G112,"EDMA",E2:E112,"0348",F2:F112,"00")</f>
        <v>0</v>
      </c>
      <c r="BU117" s="388">
        <f>SUMIFS(BU2:BU112,G2:G112,"EDMA",E2:E112,"0348",F2:F112,"00")</f>
        <v>3132.0284579999998</v>
      </c>
      <c r="BV117" s="388">
        <f>SUMIFS(BV2:BV112,G2:G112,"EDMA",E2:E112,"0348",F2:F112,"00")</f>
        <v>3530.4042800000002</v>
      </c>
      <c r="BW117" s="388">
        <f>SUMIFS(BW2:BW112,G2:G112,"EDMA",E2:E112,"0348",F2:F112,"00")</f>
        <v>0</v>
      </c>
      <c r="BX117" s="388">
        <f>SUMIFS(BX2:BX112,G2:G112,"EDMA",E2:E112,"0348",F2:F112,"00")</f>
        <v>119814.78368599998</v>
      </c>
      <c r="BY117" s="388">
        <f>SUMIFS(BY2:BY112,G2:G112,"EDMA",E2:E112,"0348",F2:F112,"00")</f>
        <v>0</v>
      </c>
      <c r="BZ117" s="388">
        <f>SUMIFS(BZ2:BZ112,G2:G112,"EDMA",E2:E112,"0348",F2:F112,"00")</f>
        <v>11875</v>
      </c>
      <c r="CA117" s="388">
        <f>SUMIFS(CA2:CA112,G2:G112,"EDMA",E2:E112,"0348",F2:F112,"00")</f>
        <v>0</v>
      </c>
      <c r="CB117" s="388">
        <f>SUMIFS(CB2:CB112,G2:G112,"EDMA",E2:E112,"0348",F2:F112,"00")</f>
        <v>0</v>
      </c>
      <c r="CC117" s="388">
        <f>SUMIFS(CC2:CC112,G2:G112,"EDMA",E2:E112,"0348",F2:F112,"00")</f>
        <v>0</v>
      </c>
      <c r="CD117" s="388">
        <f>SUMIFS(CD2:CD112,G2:G112,"EDMA",E2:E112,"0348",F2:F112,"00")</f>
        <v>-4398.5364800000061</v>
      </c>
      <c r="CE117" s="388">
        <f>SUMIFS(CE2:CE112,G2:G112,"EDMA",E2:E112,"0348",F2:F112,"00")</f>
        <v>0</v>
      </c>
      <c r="CF117" s="388">
        <f>SUMIFS(CF2:CF112,G2:G112,"EDMA",E2:E112,"0348",F2:F112,"00")</f>
        <v>0</v>
      </c>
      <c r="CG117" s="388">
        <f>SUMIFS(CG2:CG112,G2:G112,"EDMA",E2:E112,"0348",F2:F112,"00")</f>
        <v>0</v>
      </c>
      <c r="CH117" s="388">
        <f>SUMIFS(CH2:CH112,G2:G112,"EDMA",E2:E112,"0348",F2:F112,"00")</f>
        <v>-868.13219999999978</v>
      </c>
      <c r="CI117" s="388">
        <f>SUMIFS(CI2:CI112,G2:G112,"EDMA",E2:E112,"0348",F2:F112,"00")</f>
        <v>0</v>
      </c>
      <c r="CJ117" s="388">
        <f>SUMIFS(CJ2:CJ112,G2:G112,"EDMA",E2:E112,"0348",F2:F112,"00")</f>
        <v>-5266.6686800000061</v>
      </c>
      <c r="CK117" s="388">
        <f>SUMIFS(CK2:CK112,G2:G112,"EDMA",E2:E112,"0348",F2:F112,"00")</f>
        <v>0</v>
      </c>
      <c r="CL117" s="388">
        <f>SUMIFS(CL2:CL112,G2:G112,"EDMA",E2:E112,"0348",F2:F112,"00")</f>
        <v>37147.879999999997</v>
      </c>
      <c r="CM117" s="388">
        <f>SUMIFS(CM2:CM112,G2:G112,"EDMA",E2:E112,"0348",F2:F112,"00")</f>
        <v>3205.73</v>
      </c>
    </row>
    <row r="118" spans="41:91" ht="18.75">
      <c r="AQ118" s="394" t="s">
        <v>603</v>
      </c>
      <c r="AS118" s="395">
        <f t="shared" ref="AS118:CM118" si="143">SUM(AS117:AS117)</f>
        <v>9.5</v>
      </c>
      <c r="AT118" s="395">
        <f t="shared" si="143"/>
        <v>0</v>
      </c>
      <c r="AU118" s="395">
        <f t="shared" si="143"/>
        <v>14</v>
      </c>
      <c r="AV118" s="395">
        <f t="shared" si="143"/>
        <v>0</v>
      </c>
      <c r="AW118" s="395">
        <f t="shared" si="143"/>
        <v>28</v>
      </c>
      <c r="AX118" s="395">
        <f t="shared" si="143"/>
        <v>840195.19999999984</v>
      </c>
      <c r="AY118" s="395">
        <f t="shared" si="143"/>
        <v>578754.79999999993</v>
      </c>
      <c r="AZ118" s="395">
        <f t="shared" si="143"/>
        <v>0</v>
      </c>
      <c r="BA118" s="395">
        <f t="shared" si="143"/>
        <v>0</v>
      </c>
      <c r="BB118" s="395">
        <f t="shared" si="143"/>
        <v>118750</v>
      </c>
      <c r="BC118" s="395">
        <f t="shared" si="143"/>
        <v>0</v>
      </c>
      <c r="BD118" s="395">
        <f t="shared" si="143"/>
        <v>35882.797599999998</v>
      </c>
      <c r="BE118" s="395">
        <f t="shared" si="143"/>
        <v>8391.9445999999989</v>
      </c>
      <c r="BF118" s="395">
        <f t="shared" si="143"/>
        <v>69103.323120000001</v>
      </c>
      <c r="BG118" s="395">
        <f t="shared" si="143"/>
        <v>4172.8221080000003</v>
      </c>
      <c r="BH118" s="395">
        <f t="shared" si="143"/>
        <v>0</v>
      </c>
      <c r="BI118" s="395">
        <f t="shared" si="143"/>
        <v>3132.0284579999998</v>
      </c>
      <c r="BJ118" s="395">
        <f t="shared" si="143"/>
        <v>4398.5364799999998</v>
      </c>
      <c r="BK118" s="395">
        <f t="shared" si="143"/>
        <v>0</v>
      </c>
      <c r="BL118" s="395">
        <f t="shared" si="143"/>
        <v>125081.45236599998</v>
      </c>
      <c r="BM118" s="395">
        <f t="shared" si="143"/>
        <v>0</v>
      </c>
      <c r="BN118" s="395">
        <f t="shared" si="143"/>
        <v>130625</v>
      </c>
      <c r="BO118" s="395">
        <f t="shared" si="143"/>
        <v>0</v>
      </c>
      <c r="BP118" s="395">
        <f t="shared" si="143"/>
        <v>35882.797599999998</v>
      </c>
      <c r="BQ118" s="395">
        <f t="shared" si="143"/>
        <v>8391.9445999999989</v>
      </c>
      <c r="BR118" s="395">
        <f t="shared" si="143"/>
        <v>64704.786639999991</v>
      </c>
      <c r="BS118" s="395">
        <f t="shared" si="143"/>
        <v>4172.8221080000003</v>
      </c>
      <c r="BT118" s="395">
        <f t="shared" si="143"/>
        <v>0</v>
      </c>
      <c r="BU118" s="395">
        <f t="shared" si="143"/>
        <v>3132.0284579999998</v>
      </c>
      <c r="BV118" s="395">
        <f t="shared" si="143"/>
        <v>3530.4042800000002</v>
      </c>
      <c r="BW118" s="395">
        <f t="shared" si="143"/>
        <v>0</v>
      </c>
      <c r="BX118" s="395">
        <f t="shared" si="143"/>
        <v>119814.78368599998</v>
      </c>
      <c r="BY118" s="395">
        <f t="shared" si="143"/>
        <v>0</v>
      </c>
      <c r="BZ118" s="395">
        <f t="shared" si="143"/>
        <v>11875</v>
      </c>
      <c r="CA118" s="395">
        <f t="shared" si="143"/>
        <v>0</v>
      </c>
      <c r="CB118" s="395">
        <f t="shared" si="143"/>
        <v>0</v>
      </c>
      <c r="CC118" s="395">
        <f t="shared" si="143"/>
        <v>0</v>
      </c>
      <c r="CD118" s="395">
        <f t="shared" si="143"/>
        <v>-4398.5364800000061</v>
      </c>
      <c r="CE118" s="395">
        <f t="shared" si="143"/>
        <v>0</v>
      </c>
      <c r="CF118" s="395">
        <f t="shared" si="143"/>
        <v>0</v>
      </c>
      <c r="CG118" s="395">
        <f t="shared" si="143"/>
        <v>0</v>
      </c>
      <c r="CH118" s="395">
        <f t="shared" si="143"/>
        <v>-868.13219999999978</v>
      </c>
      <c r="CI118" s="395">
        <f t="shared" si="143"/>
        <v>0</v>
      </c>
      <c r="CJ118" s="395">
        <f t="shared" si="143"/>
        <v>-5266.6686800000061</v>
      </c>
      <c r="CK118" s="395">
        <f t="shared" si="143"/>
        <v>0</v>
      </c>
      <c r="CL118" s="395">
        <f t="shared" si="143"/>
        <v>37147.879999999997</v>
      </c>
      <c r="CM118" s="395">
        <f t="shared" si="143"/>
        <v>3205.73</v>
      </c>
    </row>
    <row r="119" spans="41:91" ht="15.75" thickBot="1">
      <c r="AR119" t="s">
        <v>608</v>
      </c>
      <c r="AS119" s="388">
        <f>SUMIFS(AS2:AS112,G2:G112,"EDMA",E2:E112,"0349",F2:F112,"00",AT2:AT112,1)</f>
        <v>7</v>
      </c>
      <c r="AT119" s="388">
        <f>SUMIFS(AS2:AS112,G2:G112,"EDMA",E2:E112,"0349",F2:F112,"00",AT2:AT112,3)</f>
        <v>0</v>
      </c>
      <c r="AU119" s="388">
        <f>SUMIFS(AU2:AU112,G2:G112,"EDMA",E2:E112,"0349",F2:F112,"00")</f>
        <v>7</v>
      </c>
      <c r="AV119" s="388">
        <f>SUMIFS(AV2:AV112,G2:G112,"EDMA",E2:E112,"0349",F2:F112,"00")</f>
        <v>0</v>
      </c>
      <c r="AW119" s="388">
        <f>SUMIFS(AW2:AW112,G2:G112,"EDMA",E2:E112,"0349",F2:F112,"00")</f>
        <v>15</v>
      </c>
      <c r="AX119" s="388">
        <f>SUMIFS(AX2:AX112,G2:G112,"EDMA",E2:E112,"0349",F2:F112,"00")</f>
        <v>320840</v>
      </c>
      <c r="AY119" s="388">
        <f>SUMIFS(AY2:AY112,G2:G112,"EDMA",E2:E112,"0349",F2:F112,"00")</f>
        <v>320840</v>
      </c>
      <c r="AZ119" s="388">
        <f>SUMIFS(AZ2:AZ112,G2:G112,"EDMA",E2:E112,"0349",F2:F112,"00")</f>
        <v>0</v>
      </c>
      <c r="BA119" s="388">
        <f>SUMIFS(BA2:BA112,G2:G112,"EDMA",E2:E112,"0349",F2:F112,"00")</f>
        <v>0</v>
      </c>
      <c r="BB119" s="388">
        <f>SUMIFS(BB2:BB112,G2:G112,"EDMA",E2:E112,"0349",F2:F112,"00")</f>
        <v>87500</v>
      </c>
      <c r="BC119" s="388">
        <f>SUMIFS(BC2:BC112,G2:G112,"EDMA",E2:E112,"0349",F2:F112,"00")</f>
        <v>0</v>
      </c>
      <c r="BD119" s="388">
        <f>SUMIFS(BD2:BD112,G2:G112,"EDMA",E2:E112,"0349",F2:F112,"00")</f>
        <v>19892.079999999998</v>
      </c>
      <c r="BE119" s="388">
        <f>SUMIFS(BE2:BE112,G2:G112,"EDMA",E2:E112,"0349",F2:F112,"00")</f>
        <v>4652.18</v>
      </c>
      <c r="BF119" s="388">
        <f>SUMIFS(BF2:BF112,G2:G112,"EDMA",E2:E112,"0349",F2:F112,"00")</f>
        <v>38308.296000000002</v>
      </c>
      <c r="BG119" s="388">
        <f>SUMIFS(BG2:BG112,G2:G112,"EDMA",E2:E112,"0349",F2:F112,"00")</f>
        <v>2313.2564000000002</v>
      </c>
      <c r="BH119" s="388">
        <f>SUMIFS(BH2:BH112,G2:G112,"EDMA",E2:E112,"0349",F2:F112,"00")</f>
        <v>0</v>
      </c>
      <c r="BI119" s="388">
        <f>SUMIFS(BI2:BI112,G2:G112,"EDMA",E2:E112,"0349",F2:F112,"00")</f>
        <v>1775.8493999999998</v>
      </c>
      <c r="BJ119" s="388">
        <f>SUMIFS(BJ2:BJ112,G2:G112,"EDMA",E2:E112,"0349",F2:F112,"00")</f>
        <v>2438.384</v>
      </c>
      <c r="BK119" s="388">
        <f>SUMIFS(BK2:BK112,G2:G112,"EDMA",E2:E112,"0349",F2:F112,"00")</f>
        <v>0</v>
      </c>
      <c r="BL119" s="388">
        <f>SUMIFS(BL2:BL112,G2:G112,"EDMA",E2:E112,"0349",F2:F112,"00")</f>
        <v>69380.045800000007</v>
      </c>
      <c r="BM119" s="388">
        <f>SUMIFS(BM2:BM112,G2:G112,"EDMA",E2:E112,"0349",F2:F112,"00")</f>
        <v>0</v>
      </c>
      <c r="BN119" s="388">
        <f>SUMIFS(BN2:BN112,G2:G112,"EDMA",E2:E112,"0349",F2:F112,"00")</f>
        <v>96250</v>
      </c>
      <c r="BO119" s="388">
        <f>SUMIFS(BO2:BO112,G2:G112,"EDMA",E2:E112,"0349",F2:F112,"00")</f>
        <v>0</v>
      </c>
      <c r="BP119" s="388">
        <f>SUMIFS(BP2:BP112,G2:G112,"EDMA",E2:E112,"0349",F2:F112,"00")</f>
        <v>19892.079999999998</v>
      </c>
      <c r="BQ119" s="388">
        <f>SUMIFS(BQ2:BQ112,G2:G112,"EDMA",E2:E112,"0349",F2:F112,"00")</f>
        <v>4652.18</v>
      </c>
      <c r="BR119" s="388">
        <f>SUMIFS(BR2:BR112,G2:G112,"EDMA",E2:E112,"0349",F2:F112,"00")</f>
        <v>35869.911999999997</v>
      </c>
      <c r="BS119" s="388">
        <f>SUMIFS(BS2:BS112,G2:G112,"EDMA",E2:E112,"0349",F2:F112,"00")</f>
        <v>2313.2564000000002</v>
      </c>
      <c r="BT119" s="388">
        <f>SUMIFS(BT2:BT112,G2:G112,"EDMA",E2:E112,"0349",F2:F112,"00")</f>
        <v>0</v>
      </c>
      <c r="BU119" s="388">
        <f>SUMIFS(BU2:BU112,G2:G112,"EDMA",E2:E112,"0349",F2:F112,"00")</f>
        <v>1775.8493999999998</v>
      </c>
      <c r="BV119" s="388">
        <f>SUMIFS(BV2:BV112,G2:G112,"EDMA",E2:E112,"0349",F2:F112,"00")</f>
        <v>1957.124</v>
      </c>
      <c r="BW119" s="388">
        <f>SUMIFS(BW2:BW112,G2:G112,"EDMA",E2:E112,"0349",F2:F112,"00")</f>
        <v>0</v>
      </c>
      <c r="BX119" s="388">
        <f>SUMIFS(BX2:BX112,G2:G112,"EDMA",E2:E112,"0349",F2:F112,"00")</f>
        <v>66460.401800000007</v>
      </c>
      <c r="BY119" s="388">
        <f>SUMIFS(BY2:BY112,G2:G112,"EDMA",E2:E112,"0349",F2:F112,"00")</f>
        <v>0</v>
      </c>
      <c r="BZ119" s="388">
        <f>SUMIFS(BZ2:BZ112,G2:G112,"EDMA",E2:E112,"0349",F2:F112,"00")</f>
        <v>8750</v>
      </c>
      <c r="CA119" s="388">
        <f>SUMIFS(CA2:CA112,G2:G112,"EDMA",E2:E112,"0349",F2:F112,"00")</f>
        <v>0</v>
      </c>
      <c r="CB119" s="388">
        <f>SUMIFS(CB2:CB112,G2:G112,"EDMA",E2:E112,"0349",F2:F112,"00")</f>
        <v>0</v>
      </c>
      <c r="CC119" s="388">
        <f>SUMIFS(CC2:CC112,G2:G112,"EDMA",E2:E112,"0349",F2:F112,"00")</f>
        <v>0</v>
      </c>
      <c r="CD119" s="388">
        <f>SUMIFS(CD2:CD112,G2:G112,"EDMA",E2:E112,"0349",F2:F112,"00")</f>
        <v>-2438.3840000000032</v>
      </c>
      <c r="CE119" s="388">
        <f>SUMIFS(CE2:CE112,G2:G112,"EDMA",E2:E112,"0349",F2:F112,"00")</f>
        <v>0</v>
      </c>
      <c r="CF119" s="388">
        <f>SUMIFS(CF2:CF112,G2:G112,"EDMA",E2:E112,"0349",F2:F112,"00")</f>
        <v>0</v>
      </c>
      <c r="CG119" s="388">
        <f>SUMIFS(CG2:CG112,G2:G112,"EDMA",E2:E112,"0349",F2:F112,"00")</f>
        <v>0</v>
      </c>
      <c r="CH119" s="388">
        <f>SUMIFS(CH2:CH112,G2:G112,"EDMA",E2:E112,"0349",F2:F112,"00")</f>
        <v>-481.25999999999982</v>
      </c>
      <c r="CI119" s="388">
        <f>SUMIFS(CI2:CI112,G2:G112,"EDMA",E2:E112,"0349",F2:F112,"00")</f>
        <v>0</v>
      </c>
      <c r="CJ119" s="388">
        <f>SUMIFS(CJ2:CJ112,G2:G112,"EDMA",E2:E112,"0349",F2:F112,"00")</f>
        <v>-2919.6440000000025</v>
      </c>
      <c r="CK119" s="388">
        <f>SUMIFS(CK2:CK112,G2:G112,"EDMA",E2:E112,"0349",F2:F112,"00")</f>
        <v>0</v>
      </c>
      <c r="CL119" s="388">
        <f>SUMIFS(CL2:CL112,G2:G112,"EDMA",E2:E112,"0349",F2:F112,"00")</f>
        <v>251124.88</v>
      </c>
      <c r="CM119" s="388">
        <f>SUMIFS(CM2:CM112,G2:G112,"EDMA",E2:E112,"0349",F2:F112,"00")</f>
        <v>21967.399999999998</v>
      </c>
    </row>
    <row r="120" spans="41:91" ht="18.75">
      <c r="AQ120" s="394" t="s">
        <v>609</v>
      </c>
      <c r="AS120" s="395">
        <f t="shared" ref="AS120:CM120" si="144">SUM(AS119:AS119)</f>
        <v>7</v>
      </c>
      <c r="AT120" s="395">
        <f t="shared" si="144"/>
        <v>0</v>
      </c>
      <c r="AU120" s="395">
        <f t="shared" si="144"/>
        <v>7</v>
      </c>
      <c r="AV120" s="395">
        <f t="shared" si="144"/>
        <v>0</v>
      </c>
      <c r="AW120" s="395">
        <f t="shared" si="144"/>
        <v>15</v>
      </c>
      <c r="AX120" s="395">
        <f t="shared" si="144"/>
        <v>320840</v>
      </c>
      <c r="AY120" s="395">
        <f t="shared" si="144"/>
        <v>320840</v>
      </c>
      <c r="AZ120" s="395">
        <f t="shared" si="144"/>
        <v>0</v>
      </c>
      <c r="BA120" s="395">
        <f t="shared" si="144"/>
        <v>0</v>
      </c>
      <c r="BB120" s="395">
        <f t="shared" si="144"/>
        <v>87500</v>
      </c>
      <c r="BC120" s="395">
        <f t="shared" si="144"/>
        <v>0</v>
      </c>
      <c r="BD120" s="395">
        <f t="shared" si="144"/>
        <v>19892.079999999998</v>
      </c>
      <c r="BE120" s="395">
        <f t="shared" si="144"/>
        <v>4652.18</v>
      </c>
      <c r="BF120" s="395">
        <f t="shared" si="144"/>
        <v>38308.296000000002</v>
      </c>
      <c r="BG120" s="395">
        <f t="shared" si="144"/>
        <v>2313.2564000000002</v>
      </c>
      <c r="BH120" s="395">
        <f t="shared" si="144"/>
        <v>0</v>
      </c>
      <c r="BI120" s="395">
        <f t="shared" si="144"/>
        <v>1775.8493999999998</v>
      </c>
      <c r="BJ120" s="395">
        <f t="shared" si="144"/>
        <v>2438.384</v>
      </c>
      <c r="BK120" s="395">
        <f t="shared" si="144"/>
        <v>0</v>
      </c>
      <c r="BL120" s="395">
        <f t="shared" si="144"/>
        <v>69380.045800000007</v>
      </c>
      <c r="BM120" s="395">
        <f t="shared" si="144"/>
        <v>0</v>
      </c>
      <c r="BN120" s="395">
        <f t="shared" si="144"/>
        <v>96250</v>
      </c>
      <c r="BO120" s="395">
        <f t="shared" si="144"/>
        <v>0</v>
      </c>
      <c r="BP120" s="395">
        <f t="shared" si="144"/>
        <v>19892.079999999998</v>
      </c>
      <c r="BQ120" s="395">
        <f t="shared" si="144"/>
        <v>4652.18</v>
      </c>
      <c r="BR120" s="395">
        <f t="shared" si="144"/>
        <v>35869.911999999997</v>
      </c>
      <c r="BS120" s="395">
        <f t="shared" si="144"/>
        <v>2313.2564000000002</v>
      </c>
      <c r="BT120" s="395">
        <f t="shared" si="144"/>
        <v>0</v>
      </c>
      <c r="BU120" s="395">
        <f t="shared" si="144"/>
        <v>1775.8493999999998</v>
      </c>
      <c r="BV120" s="395">
        <f t="shared" si="144"/>
        <v>1957.124</v>
      </c>
      <c r="BW120" s="395">
        <f t="shared" si="144"/>
        <v>0</v>
      </c>
      <c r="BX120" s="395">
        <f t="shared" si="144"/>
        <v>66460.401800000007</v>
      </c>
      <c r="BY120" s="395">
        <f t="shared" si="144"/>
        <v>0</v>
      </c>
      <c r="BZ120" s="395">
        <f t="shared" si="144"/>
        <v>8750</v>
      </c>
      <c r="CA120" s="395">
        <f t="shared" si="144"/>
        <v>0</v>
      </c>
      <c r="CB120" s="395">
        <f t="shared" si="144"/>
        <v>0</v>
      </c>
      <c r="CC120" s="395">
        <f t="shared" si="144"/>
        <v>0</v>
      </c>
      <c r="CD120" s="395">
        <f t="shared" si="144"/>
        <v>-2438.3840000000032</v>
      </c>
      <c r="CE120" s="395">
        <f t="shared" si="144"/>
        <v>0</v>
      </c>
      <c r="CF120" s="395">
        <f t="shared" si="144"/>
        <v>0</v>
      </c>
      <c r="CG120" s="395">
        <f t="shared" si="144"/>
        <v>0</v>
      </c>
      <c r="CH120" s="395">
        <f t="shared" si="144"/>
        <v>-481.25999999999982</v>
      </c>
      <c r="CI120" s="395">
        <f t="shared" si="144"/>
        <v>0</v>
      </c>
      <c r="CJ120" s="395">
        <f t="shared" si="144"/>
        <v>-2919.6440000000025</v>
      </c>
      <c r="CK120" s="395">
        <f t="shared" si="144"/>
        <v>0</v>
      </c>
      <c r="CL120" s="395">
        <f t="shared" si="144"/>
        <v>251124.88</v>
      </c>
      <c r="CM120" s="395">
        <f t="shared" si="144"/>
        <v>21967.399999999998</v>
      </c>
    </row>
    <row r="121" spans="41:91" ht="15.75" thickBot="1">
      <c r="AR121" t="s">
        <v>614</v>
      </c>
      <c r="AS121" s="388">
        <f>SUMIFS(AS2:AS112,G2:G112,"EDMA",E2:E112,"0481",F2:F112,"09",AT2:AT112,1)</f>
        <v>1</v>
      </c>
      <c r="AT121" s="388">
        <f>SUMIFS(AS2:AS112,G2:G112,"EDMA",E2:E112,"0481",F2:F112,"09",AT2:AT112,3)</f>
        <v>0</v>
      </c>
      <c r="AU121" s="388">
        <f>SUMIFS(AU2:AU112,G2:G112,"EDMA",E2:E112,"0481",F2:F112,"09")</f>
        <v>1</v>
      </c>
      <c r="AV121" s="388">
        <f>SUMIFS(AV2:AV112,G2:G112,"EDMA",E2:E112,"0481",F2:F112,"09")</f>
        <v>0</v>
      </c>
      <c r="AW121" s="388">
        <f>SUMIFS(AW2:AW112,G2:G112,"EDMA",E2:E112,"0481",F2:F112,"09")</f>
        <v>1</v>
      </c>
      <c r="AX121" s="388">
        <f>SUMIFS(AX2:AX112,G2:G112,"EDMA",E2:E112,"0481",F2:F112,"09")</f>
        <v>54121.599999999999</v>
      </c>
      <c r="AY121" s="388">
        <f>SUMIFS(AY2:AY112,G2:G112,"EDMA",E2:E112,"0481",F2:F112,"09")</f>
        <v>54121.599999999999</v>
      </c>
      <c r="AZ121" s="388">
        <f>SUMIFS(AZ2:AZ112,G2:G112,"EDMA",E2:E112,"0481",F2:F112,"09")</f>
        <v>0</v>
      </c>
      <c r="BA121" s="388">
        <f>SUMIFS(BA2:BA112,G2:G112,"EDMA",E2:E112,"0481",F2:F112,"09")</f>
        <v>0</v>
      </c>
      <c r="BB121" s="388">
        <f>SUMIFS(BB2:BB112,G2:G112,"EDMA",E2:E112,"0481",F2:F112,"09")</f>
        <v>12500</v>
      </c>
      <c r="BC121" s="388">
        <f>SUMIFS(BC2:BC112,G2:G112,"EDMA",E2:E112,"0481",F2:F112,"09")</f>
        <v>0</v>
      </c>
      <c r="BD121" s="388">
        <f>SUMIFS(BD2:BD112,G2:G112,"EDMA",E2:E112,"0481",F2:F112,"09")</f>
        <v>3355.5391999999997</v>
      </c>
      <c r="BE121" s="388">
        <f>SUMIFS(BE2:BE112,G2:G112,"EDMA",E2:E112,"0481",F2:F112,"09")</f>
        <v>784.76319999999998</v>
      </c>
      <c r="BF121" s="388">
        <f>SUMIFS(BF2:BF112,G2:G112,"EDMA",E2:E112,"0481",F2:F112,"09")</f>
        <v>6462.1190400000005</v>
      </c>
      <c r="BG121" s="388">
        <f>SUMIFS(BG2:BG112,G2:G112,"EDMA",E2:E112,"0481",F2:F112,"09")</f>
        <v>390.21673600000003</v>
      </c>
      <c r="BH121" s="388">
        <f>SUMIFS(BH2:BH112,G2:G112,"EDMA",E2:E112,"0481",F2:F112,"09")</f>
        <v>0</v>
      </c>
      <c r="BI121" s="388">
        <f>SUMIFS(BI2:BI112,G2:G112,"EDMA",E2:E112,"0481",F2:F112,"09")</f>
        <v>299.56305600000002</v>
      </c>
      <c r="BJ121" s="388">
        <f>SUMIFS(BJ2:BJ112,G2:G112,"EDMA",E2:E112,"0481",F2:F112,"09")</f>
        <v>411.32416000000001</v>
      </c>
      <c r="BK121" s="388">
        <f>SUMIFS(BK2:BK112,G2:G112,"EDMA",E2:E112,"0481",F2:F112,"09")</f>
        <v>0</v>
      </c>
      <c r="BL121" s="388">
        <f>SUMIFS(BL2:BL112,G2:G112,"EDMA",E2:E112,"0481",F2:F112,"09")</f>
        <v>11703.525392000001</v>
      </c>
      <c r="BM121" s="388">
        <f>SUMIFS(BM2:BM112,G2:G112,"EDMA",E2:E112,"0481",F2:F112,"09")</f>
        <v>0</v>
      </c>
      <c r="BN121" s="388">
        <f>SUMIFS(BN2:BN112,G2:G112,"EDMA",E2:E112,"0481",F2:F112,"09")</f>
        <v>13750</v>
      </c>
      <c r="BO121" s="388">
        <f>SUMIFS(BO2:BO112,G2:G112,"EDMA",E2:E112,"0481",F2:F112,"09")</f>
        <v>0</v>
      </c>
      <c r="BP121" s="388">
        <f>SUMIFS(BP2:BP112,G2:G112,"EDMA",E2:E112,"0481",F2:F112,"09")</f>
        <v>3355.5391999999997</v>
      </c>
      <c r="BQ121" s="388">
        <f>SUMIFS(BQ2:BQ112,G2:G112,"EDMA",E2:E112,"0481",F2:F112,"09")</f>
        <v>784.76319999999998</v>
      </c>
      <c r="BR121" s="388">
        <f>SUMIFS(BR2:BR112,G2:G112,"EDMA",E2:E112,"0481",F2:F112,"09")</f>
        <v>6050.7948799999995</v>
      </c>
      <c r="BS121" s="388">
        <f>SUMIFS(BS2:BS112,G2:G112,"EDMA",E2:E112,"0481",F2:F112,"09")</f>
        <v>390.21673600000003</v>
      </c>
      <c r="BT121" s="388">
        <f>SUMIFS(BT2:BT112,G2:G112,"EDMA",E2:E112,"0481",F2:F112,"09")</f>
        <v>0</v>
      </c>
      <c r="BU121" s="388">
        <f>SUMIFS(BU2:BU112,G2:G112,"EDMA",E2:E112,"0481",F2:F112,"09")</f>
        <v>299.56305600000002</v>
      </c>
      <c r="BV121" s="388">
        <f>SUMIFS(BV2:BV112,G2:G112,"EDMA",E2:E112,"0481",F2:F112,"09")</f>
        <v>330.14176000000003</v>
      </c>
      <c r="BW121" s="388">
        <f>SUMIFS(BW2:BW112,G2:G112,"EDMA",E2:E112,"0481",F2:F112,"09")</f>
        <v>0</v>
      </c>
      <c r="BX121" s="388">
        <f>SUMIFS(BX2:BX112,G2:G112,"EDMA",E2:E112,"0481",F2:F112,"09")</f>
        <v>11211.018832</v>
      </c>
      <c r="BY121" s="388">
        <f>SUMIFS(BY2:BY112,G2:G112,"EDMA",E2:E112,"0481",F2:F112,"09")</f>
        <v>0</v>
      </c>
      <c r="BZ121" s="388">
        <f>SUMIFS(BZ2:BZ112,G2:G112,"EDMA",E2:E112,"0481",F2:F112,"09")</f>
        <v>1250</v>
      </c>
      <c r="CA121" s="388">
        <f>SUMIFS(CA2:CA112,G2:G112,"EDMA",E2:E112,"0481",F2:F112,"09")</f>
        <v>0</v>
      </c>
      <c r="CB121" s="388">
        <f>SUMIFS(CB2:CB112,G2:G112,"EDMA",E2:E112,"0481",F2:F112,"09")</f>
        <v>0</v>
      </c>
      <c r="CC121" s="388">
        <f>SUMIFS(CC2:CC112,G2:G112,"EDMA",E2:E112,"0481",F2:F112,"09")</f>
        <v>0</v>
      </c>
      <c r="CD121" s="388">
        <f>SUMIFS(CD2:CD112,G2:G112,"EDMA",E2:E112,"0481",F2:F112,"09")</f>
        <v>-411.32416000000052</v>
      </c>
      <c r="CE121" s="388">
        <f>SUMIFS(CE2:CE112,G2:G112,"EDMA",E2:E112,"0481",F2:F112,"09")</f>
        <v>0</v>
      </c>
      <c r="CF121" s="388">
        <f>SUMIFS(CF2:CF112,G2:G112,"EDMA",E2:E112,"0481",F2:F112,"09")</f>
        <v>0</v>
      </c>
      <c r="CG121" s="388">
        <f>SUMIFS(CG2:CG112,G2:G112,"EDMA",E2:E112,"0481",F2:F112,"09")</f>
        <v>0</v>
      </c>
      <c r="CH121" s="388">
        <f>SUMIFS(CH2:CH112,G2:G112,"EDMA",E2:E112,"0481",F2:F112,"09")</f>
        <v>-81.182399999999973</v>
      </c>
      <c r="CI121" s="388">
        <f>SUMIFS(CI2:CI112,G2:G112,"EDMA",E2:E112,"0481",F2:F112,"09")</f>
        <v>0</v>
      </c>
      <c r="CJ121" s="388">
        <f>SUMIFS(CJ2:CJ112,G2:G112,"EDMA",E2:E112,"0481",F2:F112,"09")</f>
        <v>-492.50656000000049</v>
      </c>
      <c r="CK121" s="388">
        <f>SUMIFS(CK2:CK112,G2:G112,"EDMA",E2:E112,"0481",F2:F112,"09")</f>
        <v>0</v>
      </c>
      <c r="CL121" s="388">
        <f>SUMIFS(CL2:CL112,G2:G112,"EDMA",E2:E112,"0481",F2:F112,"09")</f>
        <v>0</v>
      </c>
      <c r="CM121" s="388">
        <f>SUMIFS(CM2:CM112,G2:G112,"EDMA",E2:E112,"0481",F2:F112,"09")</f>
        <v>0</v>
      </c>
    </row>
    <row r="122" spans="41:91" ht="18.75">
      <c r="AQ122" s="394" t="s">
        <v>615</v>
      </c>
      <c r="AS122" s="395">
        <f t="shared" ref="AS122:CM122" si="145">SUM(AS121:AS121)</f>
        <v>1</v>
      </c>
      <c r="AT122" s="395">
        <f t="shared" si="145"/>
        <v>0</v>
      </c>
      <c r="AU122" s="395">
        <f t="shared" si="145"/>
        <v>1</v>
      </c>
      <c r="AV122" s="395">
        <f t="shared" si="145"/>
        <v>0</v>
      </c>
      <c r="AW122" s="395">
        <f t="shared" si="145"/>
        <v>1</v>
      </c>
      <c r="AX122" s="395">
        <f t="shared" si="145"/>
        <v>54121.599999999999</v>
      </c>
      <c r="AY122" s="395">
        <f t="shared" si="145"/>
        <v>54121.599999999999</v>
      </c>
      <c r="AZ122" s="395">
        <f t="shared" si="145"/>
        <v>0</v>
      </c>
      <c r="BA122" s="395">
        <f t="shared" si="145"/>
        <v>0</v>
      </c>
      <c r="BB122" s="395">
        <f t="shared" si="145"/>
        <v>12500</v>
      </c>
      <c r="BC122" s="395">
        <f t="shared" si="145"/>
        <v>0</v>
      </c>
      <c r="BD122" s="395">
        <f t="shared" si="145"/>
        <v>3355.5391999999997</v>
      </c>
      <c r="BE122" s="395">
        <f t="shared" si="145"/>
        <v>784.76319999999998</v>
      </c>
      <c r="BF122" s="395">
        <f t="shared" si="145"/>
        <v>6462.1190400000005</v>
      </c>
      <c r="BG122" s="395">
        <f t="shared" si="145"/>
        <v>390.21673600000003</v>
      </c>
      <c r="BH122" s="395">
        <f t="shared" si="145"/>
        <v>0</v>
      </c>
      <c r="BI122" s="395">
        <f t="shared" si="145"/>
        <v>299.56305600000002</v>
      </c>
      <c r="BJ122" s="395">
        <f t="shared" si="145"/>
        <v>411.32416000000001</v>
      </c>
      <c r="BK122" s="395">
        <f t="shared" si="145"/>
        <v>0</v>
      </c>
      <c r="BL122" s="395">
        <f t="shared" si="145"/>
        <v>11703.525392000001</v>
      </c>
      <c r="BM122" s="395">
        <f t="shared" si="145"/>
        <v>0</v>
      </c>
      <c r="BN122" s="395">
        <f t="shared" si="145"/>
        <v>13750</v>
      </c>
      <c r="BO122" s="395">
        <f t="shared" si="145"/>
        <v>0</v>
      </c>
      <c r="BP122" s="395">
        <f t="shared" si="145"/>
        <v>3355.5391999999997</v>
      </c>
      <c r="BQ122" s="395">
        <f t="shared" si="145"/>
        <v>784.76319999999998</v>
      </c>
      <c r="BR122" s="395">
        <f t="shared" si="145"/>
        <v>6050.7948799999995</v>
      </c>
      <c r="BS122" s="395">
        <f t="shared" si="145"/>
        <v>390.21673600000003</v>
      </c>
      <c r="BT122" s="395">
        <f t="shared" si="145"/>
        <v>0</v>
      </c>
      <c r="BU122" s="395">
        <f t="shared" si="145"/>
        <v>299.56305600000002</v>
      </c>
      <c r="BV122" s="395">
        <f t="shared" si="145"/>
        <v>330.14176000000003</v>
      </c>
      <c r="BW122" s="395">
        <f t="shared" si="145"/>
        <v>0</v>
      </c>
      <c r="BX122" s="395">
        <f t="shared" si="145"/>
        <v>11211.018832</v>
      </c>
      <c r="BY122" s="395">
        <f t="shared" si="145"/>
        <v>0</v>
      </c>
      <c r="BZ122" s="395">
        <f t="shared" si="145"/>
        <v>1250</v>
      </c>
      <c r="CA122" s="395">
        <f t="shared" si="145"/>
        <v>0</v>
      </c>
      <c r="CB122" s="395">
        <f t="shared" si="145"/>
        <v>0</v>
      </c>
      <c r="CC122" s="395">
        <f t="shared" si="145"/>
        <v>0</v>
      </c>
      <c r="CD122" s="395">
        <f t="shared" si="145"/>
        <v>-411.32416000000052</v>
      </c>
      <c r="CE122" s="395">
        <f t="shared" si="145"/>
        <v>0</v>
      </c>
      <c r="CF122" s="395">
        <f t="shared" si="145"/>
        <v>0</v>
      </c>
      <c r="CG122" s="395">
        <f t="shared" si="145"/>
        <v>0</v>
      </c>
      <c r="CH122" s="395">
        <f t="shared" si="145"/>
        <v>-81.182399999999973</v>
      </c>
      <c r="CI122" s="395">
        <f t="shared" si="145"/>
        <v>0</v>
      </c>
      <c r="CJ122" s="395">
        <f t="shared" si="145"/>
        <v>-492.50656000000049</v>
      </c>
      <c r="CK122" s="395">
        <f t="shared" si="145"/>
        <v>0</v>
      </c>
      <c r="CL122" s="395">
        <f t="shared" si="145"/>
        <v>0</v>
      </c>
      <c r="CM122" s="395">
        <f t="shared" si="145"/>
        <v>0</v>
      </c>
    </row>
    <row r="123" spans="41:91" ht="15.75" thickBot="1">
      <c r="AR123" t="s">
        <v>620</v>
      </c>
      <c r="AS123" s="388">
        <f>SUMIFS(AS2:AS112,G2:G112,"EDMB",E2:E112,"0450",F2:F112,"75",AT2:AT112,1)</f>
        <v>2.7</v>
      </c>
      <c r="AT123" s="388">
        <f>SUMIFS(AS2:AS112,G2:G112,"EDMB",E2:E112,"0450",F2:F112,"75",AT2:AT112,3)</f>
        <v>0</v>
      </c>
      <c r="AU123" s="388">
        <f>SUMIFS(AU2:AU112,G2:G112,"EDMB",E2:E112,"0450",F2:F112,"75")</f>
        <v>3</v>
      </c>
      <c r="AV123" s="388">
        <f>SUMIFS(AV2:AV112,G2:G112,"EDMB",E2:E112,"0450",F2:F112,"75")</f>
        <v>0</v>
      </c>
      <c r="AW123" s="388">
        <f>SUMIFS(AW2:AW112,G2:G112,"EDMB",E2:E112,"0450",F2:F112,"75")</f>
        <v>6</v>
      </c>
      <c r="AX123" s="388">
        <f>SUMIFS(AX2:AX112,G2:G112,"EDMB",E2:E112,"0450",F2:F112,"75")</f>
        <v>136968</v>
      </c>
      <c r="AY123" s="388">
        <f>SUMIFS(AY2:AY112,G2:G112,"EDMB",E2:E112,"0450",F2:F112,"75")</f>
        <v>119602.08000000002</v>
      </c>
      <c r="AZ123" s="388">
        <f>SUMIFS(AZ2:AZ112,G2:G112,"EDMB",E2:E112,"0450",F2:F112,"75")</f>
        <v>0</v>
      </c>
      <c r="BA123" s="388">
        <f>SUMIFS(BA2:BA112,G2:G112,"EDMB",E2:E112,"0450",F2:F112,"75")</f>
        <v>0</v>
      </c>
      <c r="BB123" s="388">
        <f>SUMIFS(BB2:BB112,G2:G112,"EDMB",E2:E112,"0450",F2:F112,"75")</f>
        <v>33750</v>
      </c>
      <c r="BC123" s="388">
        <f>SUMIFS(BC2:BC112,G2:G112,"EDMB",E2:E112,"0450",F2:F112,"75")</f>
        <v>0</v>
      </c>
      <c r="BD123" s="388">
        <f>SUMIFS(BD2:BD112,G2:G112,"EDMB",E2:E112,"0450",F2:F112,"75")</f>
        <v>7415.3289599999989</v>
      </c>
      <c r="BE123" s="388">
        <f>SUMIFS(BE2:BE112,G2:G112,"EDMB",E2:E112,"0450",F2:F112,"75")</f>
        <v>1734.2301600000003</v>
      </c>
      <c r="BF123" s="388">
        <f>SUMIFS(BF2:BF112,G2:G112,"EDMB",E2:E112,"0450",F2:F112,"75")</f>
        <v>14280.488352</v>
      </c>
      <c r="BG123" s="388">
        <f>SUMIFS(BG2:BG112,G2:G112,"EDMB",E2:E112,"0450",F2:F112,"75")</f>
        <v>862.33099679999998</v>
      </c>
      <c r="BH123" s="388">
        <f>SUMIFS(BH2:BH112,G2:G112,"EDMB",E2:E112,"0450",F2:F112,"75")</f>
        <v>0</v>
      </c>
      <c r="BI123" s="388">
        <f>SUMIFS(BI2:BI112,G2:G112,"EDMB",E2:E112,"0450",F2:F112,"75")</f>
        <v>661.9975128000001</v>
      </c>
      <c r="BJ123" s="388">
        <f>SUMIFS(BJ2:BJ112,G2:G112,"EDMB",E2:E112,"0450",F2:F112,"75")</f>
        <v>908.97580800000003</v>
      </c>
      <c r="BK123" s="388">
        <f>SUMIFS(BK2:BK112,G2:G112,"EDMB",E2:E112,"0450",F2:F112,"75")</f>
        <v>0</v>
      </c>
      <c r="BL123" s="388">
        <f>SUMIFS(BL2:BL112,G2:G112,"EDMB",E2:E112,"0450",F2:F112,"75")</f>
        <v>25863.351789600001</v>
      </c>
      <c r="BM123" s="388">
        <f>SUMIFS(BM2:BM112,G2:G112,"EDMB",E2:E112,"0450",F2:F112,"75")</f>
        <v>0</v>
      </c>
      <c r="BN123" s="388">
        <f>SUMIFS(BN2:BN112,G2:G112,"EDMB",E2:E112,"0450",F2:F112,"75")</f>
        <v>37125</v>
      </c>
      <c r="BO123" s="388">
        <f>SUMIFS(BO2:BO112,G2:G112,"EDMB",E2:E112,"0450",F2:F112,"75")</f>
        <v>0</v>
      </c>
      <c r="BP123" s="388">
        <f>SUMIFS(BP2:BP112,G2:G112,"EDMB",E2:E112,"0450",F2:F112,"75")</f>
        <v>7415.3289599999989</v>
      </c>
      <c r="BQ123" s="388">
        <f>SUMIFS(BQ2:BQ112,G2:G112,"EDMB",E2:E112,"0450",F2:F112,"75")</f>
        <v>1734.2301600000003</v>
      </c>
      <c r="BR123" s="388">
        <f>SUMIFS(BR2:BR112,G2:G112,"EDMB",E2:E112,"0450",F2:F112,"75")</f>
        <v>13371.512544000001</v>
      </c>
      <c r="BS123" s="388">
        <f>SUMIFS(BS2:BS112,G2:G112,"EDMB",E2:E112,"0450",F2:F112,"75")</f>
        <v>862.33099679999998</v>
      </c>
      <c r="BT123" s="388">
        <f>SUMIFS(BT2:BT112,G2:G112,"EDMB",E2:E112,"0450",F2:F112,"75")</f>
        <v>0</v>
      </c>
      <c r="BU123" s="388">
        <f>SUMIFS(BU2:BU112,G2:G112,"EDMB",E2:E112,"0450",F2:F112,"75")</f>
        <v>661.9975128000001</v>
      </c>
      <c r="BV123" s="388">
        <f>SUMIFS(BV2:BV112,G2:G112,"EDMB",E2:E112,"0450",F2:F112,"75")</f>
        <v>729.57268799999997</v>
      </c>
      <c r="BW123" s="388">
        <f>SUMIFS(BW2:BW112,G2:G112,"EDMB",E2:E112,"0450",F2:F112,"75")</f>
        <v>0</v>
      </c>
      <c r="BX123" s="388">
        <f>SUMIFS(BX2:BX112,G2:G112,"EDMB",E2:E112,"0450",F2:F112,"75")</f>
        <v>24774.972861600003</v>
      </c>
      <c r="BY123" s="388">
        <f>SUMIFS(BY2:BY112,G2:G112,"EDMB",E2:E112,"0450",F2:F112,"75")</f>
        <v>0</v>
      </c>
      <c r="BZ123" s="388">
        <f>SUMIFS(BZ2:BZ112,G2:G112,"EDMB",E2:E112,"0450",F2:F112,"75")</f>
        <v>3375</v>
      </c>
      <c r="CA123" s="388">
        <f>SUMIFS(CA2:CA112,G2:G112,"EDMB",E2:E112,"0450",F2:F112,"75")</f>
        <v>0</v>
      </c>
      <c r="CB123" s="388">
        <f>SUMIFS(CB2:CB112,G2:G112,"EDMB",E2:E112,"0450",F2:F112,"75")</f>
        <v>0</v>
      </c>
      <c r="CC123" s="388">
        <f>SUMIFS(CC2:CC112,G2:G112,"EDMB",E2:E112,"0450",F2:F112,"75")</f>
        <v>0</v>
      </c>
      <c r="CD123" s="388">
        <f>SUMIFS(CD2:CD112,G2:G112,"EDMB",E2:E112,"0450",F2:F112,"75")</f>
        <v>-908.97580800000105</v>
      </c>
      <c r="CE123" s="388">
        <f>SUMIFS(CE2:CE112,G2:G112,"EDMB",E2:E112,"0450",F2:F112,"75")</f>
        <v>0</v>
      </c>
      <c r="CF123" s="388">
        <f>SUMIFS(CF2:CF112,G2:G112,"EDMB",E2:E112,"0450",F2:F112,"75")</f>
        <v>0</v>
      </c>
      <c r="CG123" s="388">
        <f>SUMIFS(CG2:CG112,G2:G112,"EDMB",E2:E112,"0450",F2:F112,"75")</f>
        <v>0</v>
      </c>
      <c r="CH123" s="388">
        <f>SUMIFS(CH2:CH112,G2:G112,"EDMB",E2:E112,"0450",F2:F112,"75")</f>
        <v>-179.40311999999994</v>
      </c>
      <c r="CI123" s="388">
        <f>SUMIFS(CI2:CI112,G2:G112,"EDMB",E2:E112,"0450",F2:F112,"75")</f>
        <v>0</v>
      </c>
      <c r="CJ123" s="388">
        <f>SUMIFS(CJ2:CJ112,G2:G112,"EDMB",E2:E112,"0450",F2:F112,"75")</f>
        <v>-1088.378928000001</v>
      </c>
      <c r="CK123" s="388">
        <f>SUMIFS(CK2:CK112,G2:G112,"EDMB",E2:E112,"0450",F2:F112,"75")</f>
        <v>0</v>
      </c>
      <c r="CL123" s="388">
        <f>SUMIFS(CL2:CL112,G2:G112,"EDMB",E2:E112,"0450",F2:F112,"75")</f>
        <v>0</v>
      </c>
      <c r="CM123" s="388">
        <f>SUMIFS(CM2:CM112,G2:G112,"EDMB",E2:E112,"0450",F2:F112,"75")</f>
        <v>0</v>
      </c>
    </row>
    <row r="124" spans="41:91" ht="18.75">
      <c r="AQ124" s="394" t="s">
        <v>621</v>
      </c>
      <c r="AS124" s="395">
        <f t="shared" ref="AS124:CM124" si="146">SUM(AS123:AS123)</f>
        <v>2.7</v>
      </c>
      <c r="AT124" s="395">
        <f t="shared" si="146"/>
        <v>0</v>
      </c>
      <c r="AU124" s="395">
        <f t="shared" si="146"/>
        <v>3</v>
      </c>
      <c r="AV124" s="395">
        <f t="shared" si="146"/>
        <v>0</v>
      </c>
      <c r="AW124" s="395">
        <f t="shared" si="146"/>
        <v>6</v>
      </c>
      <c r="AX124" s="395">
        <f t="shared" si="146"/>
        <v>136968</v>
      </c>
      <c r="AY124" s="395">
        <f t="shared" si="146"/>
        <v>119602.08000000002</v>
      </c>
      <c r="AZ124" s="395">
        <f t="shared" si="146"/>
        <v>0</v>
      </c>
      <c r="BA124" s="395">
        <f t="shared" si="146"/>
        <v>0</v>
      </c>
      <c r="BB124" s="395">
        <f t="shared" si="146"/>
        <v>33750</v>
      </c>
      <c r="BC124" s="395">
        <f t="shared" si="146"/>
        <v>0</v>
      </c>
      <c r="BD124" s="395">
        <f t="shared" si="146"/>
        <v>7415.3289599999989</v>
      </c>
      <c r="BE124" s="395">
        <f t="shared" si="146"/>
        <v>1734.2301600000003</v>
      </c>
      <c r="BF124" s="395">
        <f t="shared" si="146"/>
        <v>14280.488352</v>
      </c>
      <c r="BG124" s="395">
        <f t="shared" si="146"/>
        <v>862.33099679999998</v>
      </c>
      <c r="BH124" s="395">
        <f t="shared" si="146"/>
        <v>0</v>
      </c>
      <c r="BI124" s="395">
        <f t="shared" si="146"/>
        <v>661.9975128000001</v>
      </c>
      <c r="BJ124" s="395">
        <f t="shared" si="146"/>
        <v>908.97580800000003</v>
      </c>
      <c r="BK124" s="395">
        <f t="shared" si="146"/>
        <v>0</v>
      </c>
      <c r="BL124" s="395">
        <f t="shared" si="146"/>
        <v>25863.351789600001</v>
      </c>
      <c r="BM124" s="395">
        <f t="shared" si="146"/>
        <v>0</v>
      </c>
      <c r="BN124" s="395">
        <f t="shared" si="146"/>
        <v>37125</v>
      </c>
      <c r="BO124" s="395">
        <f t="shared" si="146"/>
        <v>0</v>
      </c>
      <c r="BP124" s="395">
        <f t="shared" si="146"/>
        <v>7415.3289599999989</v>
      </c>
      <c r="BQ124" s="395">
        <f t="shared" si="146"/>
        <v>1734.2301600000003</v>
      </c>
      <c r="BR124" s="395">
        <f t="shared" si="146"/>
        <v>13371.512544000001</v>
      </c>
      <c r="BS124" s="395">
        <f t="shared" si="146"/>
        <v>862.33099679999998</v>
      </c>
      <c r="BT124" s="395">
        <f t="shared" si="146"/>
        <v>0</v>
      </c>
      <c r="BU124" s="395">
        <f t="shared" si="146"/>
        <v>661.9975128000001</v>
      </c>
      <c r="BV124" s="395">
        <f t="shared" si="146"/>
        <v>729.57268799999997</v>
      </c>
      <c r="BW124" s="395">
        <f t="shared" si="146"/>
        <v>0</v>
      </c>
      <c r="BX124" s="395">
        <f t="shared" si="146"/>
        <v>24774.972861600003</v>
      </c>
      <c r="BY124" s="395">
        <f t="shared" si="146"/>
        <v>0</v>
      </c>
      <c r="BZ124" s="395">
        <f t="shared" si="146"/>
        <v>3375</v>
      </c>
      <c r="CA124" s="395">
        <f t="shared" si="146"/>
        <v>0</v>
      </c>
      <c r="CB124" s="395">
        <f t="shared" si="146"/>
        <v>0</v>
      </c>
      <c r="CC124" s="395">
        <f t="shared" si="146"/>
        <v>0</v>
      </c>
      <c r="CD124" s="395">
        <f t="shared" si="146"/>
        <v>-908.97580800000105</v>
      </c>
      <c r="CE124" s="395">
        <f t="shared" si="146"/>
        <v>0</v>
      </c>
      <c r="CF124" s="395">
        <f t="shared" si="146"/>
        <v>0</v>
      </c>
      <c r="CG124" s="395">
        <f t="shared" si="146"/>
        <v>0</v>
      </c>
      <c r="CH124" s="395">
        <f t="shared" si="146"/>
        <v>-179.40311999999994</v>
      </c>
      <c r="CI124" s="395">
        <f t="shared" si="146"/>
        <v>0</v>
      </c>
      <c r="CJ124" s="395">
        <f t="shared" si="146"/>
        <v>-1088.378928000001</v>
      </c>
      <c r="CK124" s="395">
        <f t="shared" si="146"/>
        <v>0</v>
      </c>
      <c r="CL124" s="395">
        <f t="shared" si="146"/>
        <v>0</v>
      </c>
      <c r="CM124" s="395">
        <f t="shared" si="146"/>
        <v>0</v>
      </c>
    </row>
    <row r="126" spans="41:91" ht="21">
      <c r="AO126" s="251" t="s">
        <v>95</v>
      </c>
      <c r="AP126" s="251"/>
      <c r="AQ126" s="251"/>
    </row>
    <row r="128" spans="41:91" ht="21">
      <c r="AO128" s="252"/>
      <c r="AP128" s="252"/>
      <c r="AQ128" s="252"/>
    </row>
    <row r="129" spans="41:53" ht="15.75">
      <c r="AS129" s="374" t="s">
        <v>81</v>
      </c>
      <c r="AT129" s="478" t="s">
        <v>629</v>
      </c>
      <c r="AU129" s="478"/>
      <c r="AV129" s="479" t="s">
        <v>627</v>
      </c>
      <c r="AW129" s="478" t="s">
        <v>630</v>
      </c>
      <c r="AX129" s="478"/>
      <c r="AY129" s="479" t="s">
        <v>628</v>
      </c>
      <c r="AZ129" s="478" t="s">
        <v>631</v>
      </c>
      <c r="BA129" s="478"/>
    </row>
    <row r="130" spans="41:53" ht="15.75">
      <c r="AS130" s="249"/>
      <c r="AT130" s="374" t="s">
        <v>92</v>
      </c>
      <c r="AU130" s="373" t="s">
        <v>94</v>
      </c>
      <c r="AV130" s="480"/>
      <c r="AW130" s="374" t="s">
        <v>96</v>
      </c>
      <c r="AX130" s="373" t="s">
        <v>93</v>
      </c>
      <c r="AY130" s="480"/>
      <c r="AZ130" s="374" t="s">
        <v>96</v>
      </c>
      <c r="BA130" s="373" t="s">
        <v>93</v>
      </c>
    </row>
    <row r="131" spans="41:53">
      <c r="AO131" s="393" t="s">
        <v>632</v>
      </c>
    </row>
    <row r="132" spans="41:53">
      <c r="AQ132" t="s">
        <v>599</v>
      </c>
      <c r="AS132" s="388">
        <f>SUM(SUMIFS(AS2:AS112,CN2:CN112,AQ132,E2:E112,"0001",F2:F112,"00",AT2:AT112,{1,3}))</f>
        <v>25.8</v>
      </c>
      <c r="AT132" s="388">
        <f>SUMPRODUCT(--(CN2:CN112=AQ132),--(N2:N112&lt;&gt;"NG"),--(AG2:AG112&lt;&gt;"D"),--(AR2:AR112&lt;&gt;6),--(AR2:AR112&lt;&gt;36),--(AR2:AR112&lt;&gt;56),T2:T112)+SUMPRODUCT(--(CN2:CN112=AQ132),--(N2:N112&lt;&gt;"NG"),--(AG2:AG112&lt;&gt;"D"),--(AR2:AR112&lt;&gt;6),--(AR2:AR112&lt;&gt;36),--(AR2:AR112&lt;&gt;56),U2:U112)</f>
        <v>1625990.0999999999</v>
      </c>
      <c r="AU132" s="388">
        <f>SUMPRODUCT(--(CN2:CN112=AQ132),--(N2:N112&lt;&gt;"NG"),--(AG2:AG112&lt;&gt;"D"),--(AR2:AR112&lt;&gt;6),--(AR2:AR112&lt;&gt;36),--(AR2:AR112&lt;&gt;56),V2:V112)</f>
        <v>702266.56</v>
      </c>
      <c r="AV132" s="388">
        <f>SUMPRODUCT(--(CN2:CN112=AQ132),AY2:AY112)+SUMPRODUCT(--(CN2:CN112=AQ132),AZ2:AZ112)</f>
        <v>1519671.9200000002</v>
      </c>
      <c r="AW132" s="388">
        <f>SUMPRODUCT(--(CN2:CN112=AQ132),BB2:BB112)+SUMPRODUCT(--(CN2:CN112=AQ132),BC2:BC112)</f>
        <v>322500</v>
      </c>
      <c r="AX132" s="388">
        <f>SUMPRODUCT(--(CN2:CN112=AQ132),BL2:BL112)+SUMPRODUCT(--(CN2:CN112=AQ132),BM2:BM112)</f>
        <v>327381.98629240005</v>
      </c>
      <c r="AY132" s="388">
        <f>SUMPRODUCT(--(CN2:CN112=AQ132),AY2:AY112)+SUMPRODUCT(--(CN2:CN112=AQ132),AZ2:AZ112)+SUMPRODUCT(--(CN2:CN112=AQ132),BA2:BA112)</f>
        <v>1519671.9200000002</v>
      </c>
      <c r="AZ132" s="388">
        <f>SUMPRODUCT(--(CN2:CN112=AQ132),BN2:BN112)+SUMPRODUCT(--(CN2:CN112=AQ132),BO2:BO112)</f>
        <v>354750</v>
      </c>
      <c r="BA132" s="388">
        <f>SUMPRODUCT(--(CN2:CN112=AQ132),BX2:BX112)+SUMPRODUCT(--(CN2:CN112=AQ132),BY2:BY112)</f>
        <v>313552.97182039998</v>
      </c>
    </row>
    <row r="133" spans="41:53">
      <c r="AP133" t="s">
        <v>633</v>
      </c>
      <c r="AS133" s="399">
        <f t="shared" ref="AS133:BA133" si="147">SUM(AS132:AS132)</f>
        <v>25.8</v>
      </c>
      <c r="AT133" s="399">
        <f t="shared" si="147"/>
        <v>1625990.0999999999</v>
      </c>
      <c r="AU133" s="399">
        <f t="shared" si="147"/>
        <v>702266.56</v>
      </c>
      <c r="AV133" s="399">
        <f t="shared" si="147"/>
        <v>1519671.9200000002</v>
      </c>
      <c r="AW133" s="399">
        <f t="shared" si="147"/>
        <v>322500</v>
      </c>
      <c r="AX133" s="399">
        <f t="shared" si="147"/>
        <v>327381.98629240005</v>
      </c>
      <c r="AY133" s="399">
        <f t="shared" si="147"/>
        <v>1519671.9200000002</v>
      </c>
      <c r="AZ133" s="399">
        <f t="shared" si="147"/>
        <v>354750</v>
      </c>
      <c r="BA133" s="399">
        <f t="shared" si="147"/>
        <v>313552.97182039998</v>
      </c>
    </row>
    <row r="134" spans="41:53">
      <c r="AQ134" t="s">
        <v>605</v>
      </c>
      <c r="AS134" s="388">
        <f>SUM(SUMIFS(AS2:AS112,CN2:CN112,AQ134,E2:E112,"0348",F2:F112,"00",AT2:AT112,{1,3}))</f>
        <v>9.5</v>
      </c>
      <c r="AT134" s="388">
        <f>SUMPRODUCT(--(CN2:CN112=AQ134),--(N2:N112&lt;&gt;"NG"),--(AG2:AG112&lt;&gt;"D"),--(AR2:AR112&lt;&gt;6),--(AR2:AR112&lt;&gt;36),--(AR2:AR112&lt;&gt;56),T2:T112)+SUMPRODUCT(--(CN2:CN112=AQ134),--(N2:N112&lt;&gt;"NG"),--(AG2:AG112&lt;&gt;"D"),--(AR2:AR112&lt;&gt;6),--(AR2:AR112&lt;&gt;36),--(AR2:AR112&lt;&gt;56),U2:U112)</f>
        <v>593368.5</v>
      </c>
      <c r="AU134" s="388">
        <f>SUMPRODUCT(--(CN2:CN112=AQ134),--(N2:N112&lt;&gt;"NG"),--(AG2:AG112&lt;&gt;"D"),--(AR2:AR112&lt;&gt;6),--(AR2:AR112&lt;&gt;36),--(AR2:AR112&lt;&gt;56),V2:V112)</f>
        <v>251683.56</v>
      </c>
      <c r="AV134" s="388">
        <f>SUMPRODUCT(--(CN2:CN112=AQ134),AY2:AY112)+SUMPRODUCT(--(CN2:CN112=AQ134),AZ2:AZ112)</f>
        <v>578754.79999999993</v>
      </c>
      <c r="AW134" s="388">
        <f>SUMPRODUCT(--(CN2:CN112=AQ134),BB2:BB112)+SUMPRODUCT(--(CN2:CN112=AQ134),BC2:BC112)</f>
        <v>118750</v>
      </c>
      <c r="AX134" s="388">
        <f>SUMPRODUCT(--(CN2:CN112=AQ134),BL2:BL112)+SUMPRODUCT(--(CN2:CN112=AQ134),BM2:BM112)</f>
        <v>125081.45236599998</v>
      </c>
      <c r="AY134" s="388">
        <f>SUMPRODUCT(--(CN2:CN112=AQ134),AY2:AY112)+SUMPRODUCT(--(CN2:CN112=AQ134),AZ2:AZ112)+SUMPRODUCT(--(CN2:CN112=AQ134),BA2:BA112)</f>
        <v>578754.79999999993</v>
      </c>
      <c r="AZ134" s="388">
        <f>SUMPRODUCT(--(CN2:CN112=AQ134),BN2:BN112)+SUMPRODUCT(--(CN2:CN112=AQ134),BO2:BO112)</f>
        <v>130625</v>
      </c>
      <c r="BA134" s="388">
        <f>SUMPRODUCT(--(CN2:CN112=AQ134),BX2:BX112)+SUMPRODUCT(--(CN2:CN112=AQ134),BY2:BY112)</f>
        <v>119814.78368599998</v>
      </c>
    </row>
    <row r="135" spans="41:53">
      <c r="AP135" t="s">
        <v>634</v>
      </c>
      <c r="AS135" s="399">
        <f t="shared" ref="AS135:BA135" si="148">SUM(AS134:AS134)</f>
        <v>9.5</v>
      </c>
      <c r="AT135" s="399">
        <f t="shared" si="148"/>
        <v>593368.5</v>
      </c>
      <c r="AU135" s="399">
        <f t="shared" si="148"/>
        <v>251683.56</v>
      </c>
      <c r="AV135" s="399">
        <f t="shared" si="148"/>
        <v>578754.79999999993</v>
      </c>
      <c r="AW135" s="399">
        <f t="shared" si="148"/>
        <v>118750</v>
      </c>
      <c r="AX135" s="399">
        <f t="shared" si="148"/>
        <v>125081.45236599998</v>
      </c>
      <c r="AY135" s="399">
        <f t="shared" si="148"/>
        <v>578754.79999999993</v>
      </c>
      <c r="AZ135" s="399">
        <f t="shared" si="148"/>
        <v>130625</v>
      </c>
      <c r="BA135" s="399">
        <f t="shared" si="148"/>
        <v>119814.78368599998</v>
      </c>
    </row>
    <row r="136" spans="41:53">
      <c r="AQ136" t="s">
        <v>611</v>
      </c>
      <c r="AS136" s="388">
        <f>SUM(SUMIFS(AS2:AS112,CN2:CN112,AQ136,E2:E112,"0349",F2:F112,"00",AT2:AT112,{1,3}))</f>
        <v>7</v>
      </c>
      <c r="AT136" s="388">
        <f>SUMPRODUCT(--(CN2:CN112=AQ136),--(N2:N112&lt;&gt;"NG"),--(AG2:AG112&lt;&gt;"D"),--(AR2:AR112&lt;&gt;6),--(AR2:AR112&lt;&gt;36),--(AR2:AR112&lt;&gt;56),T2:T112)+SUMPRODUCT(--(CN2:CN112=AQ136),--(N2:N112&lt;&gt;"NG"),--(AG2:AG112&lt;&gt;"D"),--(AR2:AR112&lt;&gt;6),--(AR2:AR112&lt;&gt;36),--(AR2:AR112&lt;&gt;56),U2:U112)</f>
        <v>257113.97</v>
      </c>
      <c r="AU136" s="388">
        <f>SUMPRODUCT(--(CN2:CN112=AQ136),--(N2:N112&lt;&gt;"NG"),--(AG2:AG112&lt;&gt;"D"),--(AR2:AR112&lt;&gt;6),--(AR2:AR112&lt;&gt;36),--(AR2:AR112&lt;&gt;56),V2:V112)</f>
        <v>129311.93999999999</v>
      </c>
      <c r="AV136" s="388">
        <f>SUMPRODUCT(--(CN2:CN112=AQ136),AY2:AY112)+SUMPRODUCT(--(CN2:CN112=AQ136),AZ2:AZ112)</f>
        <v>320840</v>
      </c>
      <c r="AW136" s="388">
        <f>SUMPRODUCT(--(CN2:CN112=AQ136),BB2:BB112)+SUMPRODUCT(--(CN2:CN112=AQ136),BC2:BC112)</f>
        <v>87500</v>
      </c>
      <c r="AX136" s="388">
        <f>SUMPRODUCT(--(CN2:CN112=AQ136),BL2:BL112)+SUMPRODUCT(--(CN2:CN112=AQ136),BM2:BM112)</f>
        <v>69380.045800000007</v>
      </c>
      <c r="AY136" s="388">
        <f>SUMPRODUCT(--(CN2:CN112=AQ136),AY2:AY112)+SUMPRODUCT(--(CN2:CN112=AQ136),AZ2:AZ112)+SUMPRODUCT(--(CN2:CN112=AQ136),BA2:BA112)</f>
        <v>320840</v>
      </c>
      <c r="AZ136" s="388">
        <f>SUMPRODUCT(--(CN2:CN112=AQ136),BN2:BN112)+SUMPRODUCT(--(CN2:CN112=AQ136),BO2:BO112)</f>
        <v>96250</v>
      </c>
      <c r="BA136" s="388">
        <f>SUMPRODUCT(--(CN2:CN112=AQ136),BX2:BX112)+SUMPRODUCT(--(CN2:CN112=AQ136),BY2:BY112)</f>
        <v>66460.401800000007</v>
      </c>
    </row>
    <row r="137" spans="41:53">
      <c r="AP137" t="s">
        <v>635</v>
      </c>
      <c r="AS137" s="399">
        <f t="shared" ref="AS137:BA137" si="149">SUM(AS136:AS136)</f>
        <v>7</v>
      </c>
      <c r="AT137" s="399">
        <f t="shared" si="149"/>
        <v>257113.97</v>
      </c>
      <c r="AU137" s="399">
        <f t="shared" si="149"/>
        <v>129311.93999999999</v>
      </c>
      <c r="AV137" s="399">
        <f t="shared" si="149"/>
        <v>320840</v>
      </c>
      <c r="AW137" s="399">
        <f t="shared" si="149"/>
        <v>87500</v>
      </c>
      <c r="AX137" s="399">
        <f t="shared" si="149"/>
        <v>69380.045800000007</v>
      </c>
      <c r="AY137" s="399">
        <f t="shared" si="149"/>
        <v>320840</v>
      </c>
      <c r="AZ137" s="399">
        <f t="shared" si="149"/>
        <v>96250</v>
      </c>
      <c r="BA137" s="399">
        <f t="shared" si="149"/>
        <v>66460.401800000007</v>
      </c>
    </row>
    <row r="138" spans="41:53">
      <c r="AQ138" t="s">
        <v>623</v>
      </c>
      <c r="AS138" s="388">
        <f>SUM(SUMIFS(AS2:AS112,CN2:CN112,AQ138,E2:E112,"0450",F2:F112,"75",AT2:AT112,{1,3}))</f>
        <v>2.7</v>
      </c>
      <c r="AT138" s="388">
        <f>SUMPRODUCT(--(CN2:CN112=AQ138),--(N2:N112&lt;&gt;"NG"),--(AG2:AG112&lt;&gt;"D"),--(AR2:AR112&lt;&gt;6),--(AR2:AR112&lt;&gt;36),--(AR2:AR112&lt;&gt;56),T2:T112)+SUMPRODUCT(--(CN2:CN112=AQ138),--(N2:N112&lt;&gt;"NG"),--(AG2:AG112&lt;&gt;"D"),--(AR2:AR112&lt;&gt;6),--(AR2:AR112&lt;&gt;36),--(AR2:AR112&lt;&gt;56),U2:U112)</f>
        <v>72467.13</v>
      </c>
      <c r="AU138" s="388">
        <f>SUMPRODUCT(--(CN2:CN112=AQ138),--(N2:N112&lt;&gt;"NG"),--(AG2:AG112&lt;&gt;"D"),--(AR2:AR112&lt;&gt;6),--(AR2:AR112&lt;&gt;36),--(AR2:AR112&lt;&gt;56),V2:V112)</f>
        <v>36376.83</v>
      </c>
      <c r="AV138" s="388">
        <f>SUMPRODUCT(--(CN2:CN112=AQ138),AY2:AY112)+SUMPRODUCT(--(CN2:CN112=AQ138),AZ2:AZ112)</f>
        <v>119602.08000000002</v>
      </c>
      <c r="AW138" s="388">
        <f>SUMPRODUCT(--(CN2:CN112=AQ138),BB2:BB112)+SUMPRODUCT(--(CN2:CN112=AQ138),BC2:BC112)</f>
        <v>33750</v>
      </c>
      <c r="AX138" s="388">
        <f>SUMPRODUCT(--(CN2:CN112=AQ138),BL2:BL112)+SUMPRODUCT(--(CN2:CN112=AQ138),BM2:BM112)</f>
        <v>25863.351789600001</v>
      </c>
      <c r="AY138" s="388">
        <f>SUMPRODUCT(--(CN2:CN112=AQ138),AY2:AY112)+SUMPRODUCT(--(CN2:CN112=AQ138),AZ2:AZ112)+SUMPRODUCT(--(CN2:CN112=AQ138),BA2:BA112)</f>
        <v>119602.08000000002</v>
      </c>
      <c r="AZ138" s="388">
        <f>SUMPRODUCT(--(CN2:CN112=AQ138),BN2:BN112)+SUMPRODUCT(--(CN2:CN112=AQ138),BO2:BO112)</f>
        <v>37125</v>
      </c>
      <c r="BA138" s="388">
        <f>SUMPRODUCT(--(CN2:CN112=AQ138),BX2:BX112)+SUMPRODUCT(--(CN2:CN112=AQ138),BY2:BY112)</f>
        <v>24774.972861600003</v>
      </c>
    </row>
    <row r="139" spans="41:53">
      <c r="AP139" t="s">
        <v>636</v>
      </c>
      <c r="AS139" s="399">
        <f t="shared" ref="AS139:BA139" si="150">SUM(AS138:AS138)</f>
        <v>2.7</v>
      </c>
      <c r="AT139" s="399">
        <f t="shared" si="150"/>
        <v>72467.13</v>
      </c>
      <c r="AU139" s="399">
        <f t="shared" si="150"/>
        <v>36376.83</v>
      </c>
      <c r="AV139" s="399">
        <f t="shared" si="150"/>
        <v>119602.08000000002</v>
      </c>
      <c r="AW139" s="399">
        <f t="shared" si="150"/>
        <v>33750</v>
      </c>
      <c r="AX139" s="399">
        <f t="shared" si="150"/>
        <v>25863.351789600001</v>
      </c>
      <c r="AY139" s="399">
        <f t="shared" si="150"/>
        <v>119602.08000000002</v>
      </c>
      <c r="AZ139" s="399">
        <f t="shared" si="150"/>
        <v>37125</v>
      </c>
      <c r="BA139" s="399">
        <f t="shared" si="150"/>
        <v>24774.972861600003</v>
      </c>
    </row>
    <row r="140" spans="41:53">
      <c r="AQ140" t="s">
        <v>617</v>
      </c>
      <c r="AS140" s="388">
        <f>SUM(SUMIFS(AS2:AS112,CN2:CN112,AQ140,E2:E112,"0481",F2:F112,"09",AT2:AT112,{1,3}))</f>
        <v>1</v>
      </c>
      <c r="AT140" s="388">
        <f>SUMPRODUCT(--(CN2:CN112=AQ140),--(N2:N112&lt;&gt;"NG"),--(AG2:AG112&lt;&gt;"D"),--(AR2:AR112&lt;&gt;6),--(AR2:AR112&lt;&gt;36),--(AR2:AR112&lt;&gt;56),T2:T112)+SUMPRODUCT(--(CN2:CN112=AQ140),--(N2:N112&lt;&gt;"NG"),--(AG2:AG112&lt;&gt;"D"),--(AR2:AR112&lt;&gt;6),--(AR2:AR112&lt;&gt;36),--(AR2:AR112&lt;&gt;56),U2:U112)</f>
        <v>49754.689999999995</v>
      </c>
      <c r="AU140" s="388">
        <f>SUMPRODUCT(--(CN2:CN112=AQ140),--(N2:N112&lt;&gt;"NG"),--(AG2:AG112&lt;&gt;"D"),--(AR2:AR112&lt;&gt;6),--(AR2:AR112&lt;&gt;36),--(AR2:AR112&lt;&gt;56),V2:V112)</f>
        <v>22237.48</v>
      </c>
      <c r="AV140" s="388">
        <f>SUMPRODUCT(--(CN2:CN112=AQ140),AY2:AY112)+SUMPRODUCT(--(CN2:CN112=AQ140),AZ2:AZ112)</f>
        <v>54121.599999999999</v>
      </c>
      <c r="AW140" s="388">
        <f>SUMPRODUCT(--(CN2:CN112=AQ140),BB2:BB112)+SUMPRODUCT(--(CN2:CN112=AQ140),BC2:BC112)</f>
        <v>12500</v>
      </c>
      <c r="AX140" s="388">
        <f>SUMPRODUCT(--(CN2:CN112=AQ140),BL2:BL112)+SUMPRODUCT(--(CN2:CN112=AQ140),BM2:BM112)</f>
        <v>11703.525392000001</v>
      </c>
      <c r="AY140" s="388">
        <f>SUMPRODUCT(--(CN2:CN112=AQ140),AY2:AY112)+SUMPRODUCT(--(CN2:CN112=AQ140),AZ2:AZ112)+SUMPRODUCT(--(CN2:CN112=AQ140),BA2:BA112)</f>
        <v>54121.599999999999</v>
      </c>
      <c r="AZ140" s="388">
        <f>SUMPRODUCT(--(CN2:CN112=AQ140),BN2:BN112)+SUMPRODUCT(--(CN2:CN112=AQ140),BO2:BO112)</f>
        <v>13750</v>
      </c>
      <c r="BA140" s="388">
        <f>SUMPRODUCT(--(CN2:CN112=AQ140),BX2:BX112)+SUMPRODUCT(--(CN2:CN112=AQ140),BY2:BY112)</f>
        <v>11211.018832</v>
      </c>
    </row>
    <row r="141" spans="41:53">
      <c r="AP141" t="s">
        <v>637</v>
      </c>
      <c r="AS141" s="399">
        <f t="shared" ref="AS141:BA141" si="151">SUM(AS140:AS140)</f>
        <v>1</v>
      </c>
      <c r="AT141" s="399">
        <f t="shared" si="151"/>
        <v>49754.689999999995</v>
      </c>
      <c r="AU141" s="399">
        <f t="shared" si="151"/>
        <v>22237.48</v>
      </c>
      <c r="AV141" s="399">
        <f t="shared" si="151"/>
        <v>54121.599999999999</v>
      </c>
      <c r="AW141" s="399">
        <f t="shared" si="151"/>
        <v>12500</v>
      </c>
      <c r="AX141" s="399">
        <f t="shared" si="151"/>
        <v>11703.525392000001</v>
      </c>
      <c r="AY141" s="399">
        <f t="shared" si="151"/>
        <v>54121.599999999999</v>
      </c>
      <c r="AZ141" s="399">
        <f t="shared" si="151"/>
        <v>13750</v>
      </c>
      <c r="BA141" s="399">
        <f t="shared" si="151"/>
        <v>11211.018832</v>
      </c>
    </row>
    <row r="142" spans="41:53">
      <c r="AS142" s="388"/>
      <c r="AT142" s="388"/>
      <c r="AU142" s="388"/>
      <c r="AV142" s="388"/>
      <c r="AW142" s="388"/>
      <c r="AX142" s="388"/>
      <c r="AY142" s="388"/>
      <c r="AZ142" s="388"/>
      <c r="BA142" s="388"/>
    </row>
    <row r="143" spans="41:53">
      <c r="AO143" s="397" t="s">
        <v>638</v>
      </c>
      <c r="AS143" s="400">
        <f t="shared" ref="AS143:BA143" si="152">SUM(AS133,AS135,AS137,AS139,AS141)</f>
        <v>46</v>
      </c>
      <c r="AT143" s="400">
        <f t="shared" si="152"/>
        <v>2598694.3899999997</v>
      </c>
      <c r="AU143" s="400">
        <f t="shared" si="152"/>
        <v>1141876.3700000001</v>
      </c>
      <c r="AV143" s="400">
        <f t="shared" si="152"/>
        <v>2592990.4000000004</v>
      </c>
      <c r="AW143" s="400">
        <f t="shared" si="152"/>
        <v>575000</v>
      </c>
      <c r="AX143" s="400">
        <f t="shared" si="152"/>
        <v>559410.36164000002</v>
      </c>
      <c r="AY143" s="400">
        <f t="shared" si="152"/>
        <v>2592990.4000000004</v>
      </c>
      <c r="AZ143" s="400">
        <f t="shared" si="152"/>
        <v>632500</v>
      </c>
      <c r="BA143" s="400">
        <f t="shared" si="152"/>
        <v>535814.14899999998</v>
      </c>
    </row>
    <row r="144" spans="41:53">
      <c r="AS144" s="388"/>
      <c r="AT144" s="388"/>
      <c r="AU144" s="388"/>
      <c r="AV144" s="388"/>
      <c r="AW144" s="388"/>
      <c r="AX144" s="388"/>
      <c r="AY144" s="388"/>
      <c r="AZ144" s="388"/>
      <c r="BA144" s="388"/>
    </row>
    <row r="145" spans="41:202">
      <c r="AO145" s="393" t="s">
        <v>639</v>
      </c>
      <c r="AS145" s="388"/>
      <c r="AT145" s="388"/>
      <c r="AU145" s="388"/>
      <c r="AV145" s="388"/>
      <c r="AW145" s="388"/>
      <c r="AX145" s="388"/>
      <c r="AY145" s="388"/>
      <c r="AZ145" s="388"/>
      <c r="BA145" s="388"/>
    </row>
    <row r="146" spans="41:202">
      <c r="AQ146" t="s">
        <v>599</v>
      </c>
      <c r="AS146" s="388"/>
      <c r="AT146" s="388">
        <f>SUMIF(CN2:CN112,AQ146,CL2:CL112)</f>
        <v>25107.42</v>
      </c>
      <c r="AU146" s="388">
        <f>SUMIF(CN2:CN112,AQ146,CM2:CM112)</f>
        <v>2435.89</v>
      </c>
      <c r="AV146" s="388">
        <f>SUMIF(CN2:CN112,AQ146,CL2:CL112)</f>
        <v>25107.42</v>
      </c>
      <c r="AW146" s="388">
        <v>0</v>
      </c>
      <c r="AX146" s="388">
        <f>SUMIF(CN2:CN112,AQ146,CM2:CM112)</f>
        <v>2435.89</v>
      </c>
      <c r="AY146" s="388">
        <f>SUMIF(CN2:CN112,AQ146,CL2:CL112)</f>
        <v>25107.42</v>
      </c>
      <c r="AZ146" s="388">
        <v>0</v>
      </c>
      <c r="BA146" s="388">
        <f>SUMIF(CN2:CN112,AQ146,CM2:CM112)</f>
        <v>2435.89</v>
      </c>
    </row>
    <row r="147" spans="41:202">
      <c r="AP147" t="s">
        <v>633</v>
      </c>
      <c r="AS147" s="399"/>
      <c r="AT147" s="399">
        <f t="shared" ref="AT147:BA147" si="153">SUM(AT146:AT146)</f>
        <v>25107.42</v>
      </c>
      <c r="AU147" s="399">
        <f t="shared" si="153"/>
        <v>2435.89</v>
      </c>
      <c r="AV147" s="399">
        <f t="shared" si="153"/>
        <v>25107.42</v>
      </c>
      <c r="AW147" s="399">
        <f t="shared" si="153"/>
        <v>0</v>
      </c>
      <c r="AX147" s="399">
        <f t="shared" si="153"/>
        <v>2435.89</v>
      </c>
      <c r="AY147" s="399">
        <f t="shared" si="153"/>
        <v>25107.42</v>
      </c>
      <c r="AZ147" s="399">
        <f t="shared" si="153"/>
        <v>0</v>
      </c>
      <c r="BA147" s="399">
        <f t="shared" si="153"/>
        <v>2435.89</v>
      </c>
    </row>
    <row r="148" spans="41:202">
      <c r="AQ148" t="s">
        <v>605</v>
      </c>
      <c r="AS148" s="388"/>
      <c r="AT148" s="388">
        <f>SUMIF(CN2:CN112,AQ148,CL2:CL112)</f>
        <v>37147.879999999997</v>
      </c>
      <c r="AU148" s="388">
        <f>SUMIF(CN2:CN112,AQ148,CM2:CM112)</f>
        <v>3205.73</v>
      </c>
      <c r="AV148" s="388">
        <f>SUMIF(CN2:CN112,AQ148,CL2:CL112)</f>
        <v>37147.879999999997</v>
      </c>
      <c r="AW148" s="388">
        <v>0</v>
      </c>
      <c r="AX148" s="388">
        <f>SUMIF(CN2:CN112,AQ148,CM2:CM112)</f>
        <v>3205.73</v>
      </c>
      <c r="AY148" s="388">
        <f>SUMIF(CN2:CN112,AQ148,CL2:CL112)</f>
        <v>37147.879999999997</v>
      </c>
      <c r="AZ148" s="388">
        <v>0</v>
      </c>
      <c r="BA148" s="388">
        <f>SUMIF(CN2:CN112,AQ148,CM2:CM112)</f>
        <v>3205.73</v>
      </c>
    </row>
    <row r="149" spans="41:202">
      <c r="AP149" t="s">
        <v>634</v>
      </c>
      <c r="AS149" s="399"/>
      <c r="AT149" s="399">
        <f t="shared" ref="AT149:BA149" si="154">SUM(AT148:AT148)</f>
        <v>37147.879999999997</v>
      </c>
      <c r="AU149" s="399">
        <f t="shared" si="154"/>
        <v>3205.73</v>
      </c>
      <c r="AV149" s="399">
        <f t="shared" si="154"/>
        <v>37147.879999999997</v>
      </c>
      <c r="AW149" s="399">
        <f t="shared" si="154"/>
        <v>0</v>
      </c>
      <c r="AX149" s="399">
        <f t="shared" si="154"/>
        <v>3205.73</v>
      </c>
      <c r="AY149" s="399">
        <f t="shared" si="154"/>
        <v>37147.879999999997</v>
      </c>
      <c r="AZ149" s="399">
        <f t="shared" si="154"/>
        <v>0</v>
      </c>
      <c r="BA149" s="399">
        <f t="shared" si="154"/>
        <v>3205.73</v>
      </c>
    </row>
    <row r="150" spans="41:202">
      <c r="AQ150" t="s">
        <v>611</v>
      </c>
      <c r="AS150" s="388"/>
      <c r="AT150" s="388">
        <f>SUMIF(CN2:CN112,AQ150,CL2:CL112)</f>
        <v>251124.88</v>
      </c>
      <c r="AU150" s="388">
        <f>SUMIF(CN2:CN112,AQ150,CM2:CM112)</f>
        <v>21967.399999999998</v>
      </c>
      <c r="AV150" s="388">
        <f>SUMIF(CN2:CN112,AQ150,CL2:CL112)</f>
        <v>251124.88</v>
      </c>
      <c r="AW150" s="388">
        <v>0</v>
      </c>
      <c r="AX150" s="388">
        <f>SUMIF(CN2:CN112,AQ150,CM2:CM112)</f>
        <v>21967.399999999998</v>
      </c>
      <c r="AY150" s="388">
        <f>SUMIF(CN2:CN112,AQ150,CL2:CL112)</f>
        <v>251124.88</v>
      </c>
      <c r="AZ150" s="388">
        <v>0</v>
      </c>
      <c r="BA150" s="388">
        <f>SUMIF(CN2:CN112,AQ150,CM2:CM112)</f>
        <v>21967.399999999998</v>
      </c>
    </row>
    <row r="151" spans="41:202">
      <c r="AP151" t="s">
        <v>635</v>
      </c>
      <c r="AS151" s="399"/>
      <c r="AT151" s="399">
        <f t="shared" ref="AT151:BA151" si="155">SUM(AT150:AT150)</f>
        <v>251124.88</v>
      </c>
      <c r="AU151" s="399">
        <f t="shared" si="155"/>
        <v>21967.399999999998</v>
      </c>
      <c r="AV151" s="399">
        <f t="shared" si="155"/>
        <v>251124.88</v>
      </c>
      <c r="AW151" s="399">
        <f t="shared" si="155"/>
        <v>0</v>
      </c>
      <c r="AX151" s="399">
        <f t="shared" si="155"/>
        <v>21967.399999999998</v>
      </c>
      <c r="AY151" s="399">
        <f t="shared" si="155"/>
        <v>251124.88</v>
      </c>
      <c r="AZ151" s="399">
        <f t="shared" si="155"/>
        <v>0</v>
      </c>
      <c r="BA151" s="399">
        <f t="shared" si="155"/>
        <v>21967.399999999998</v>
      </c>
    </row>
    <row r="152" spans="41:202">
      <c r="AS152" s="388"/>
      <c r="AT152" s="388"/>
      <c r="AU152" s="388"/>
      <c r="AV152" s="388"/>
      <c r="AW152" s="388"/>
      <c r="AX152" s="388"/>
      <c r="AY152" s="388"/>
      <c r="AZ152" s="388"/>
      <c r="BA152" s="388"/>
    </row>
    <row r="153" spans="41:202">
      <c r="AO153" s="397" t="s">
        <v>640</v>
      </c>
      <c r="AS153" s="400">
        <f t="shared" ref="AS153:BA153" si="156">SUM(AS147,AS149,AS151)</f>
        <v>0</v>
      </c>
      <c r="AT153" s="400">
        <f t="shared" si="156"/>
        <v>313380.18</v>
      </c>
      <c r="AU153" s="400">
        <f t="shared" si="156"/>
        <v>27609.019999999997</v>
      </c>
      <c r="AV153" s="400">
        <f t="shared" si="156"/>
        <v>313380.18</v>
      </c>
      <c r="AW153" s="400">
        <f t="shared" si="156"/>
        <v>0</v>
      </c>
      <c r="AX153" s="400">
        <f t="shared" si="156"/>
        <v>27609.019999999997</v>
      </c>
      <c r="AY153" s="400">
        <f t="shared" si="156"/>
        <v>313380.18</v>
      </c>
      <c r="AZ153" s="400">
        <f t="shared" si="156"/>
        <v>0</v>
      </c>
      <c r="BA153" s="400">
        <f t="shared" si="156"/>
        <v>27609.019999999997</v>
      </c>
      <c r="GJ153" s="393"/>
      <c r="GT153" s="393"/>
    </row>
    <row r="154" spans="41:202">
      <c r="AS154" s="388"/>
      <c r="AT154" s="388"/>
      <c r="AU154" s="388"/>
      <c r="AV154" s="388"/>
      <c r="AW154" s="388"/>
      <c r="AX154" s="388"/>
      <c r="AY154" s="388"/>
      <c r="AZ154" s="388"/>
      <c r="BA154" s="388"/>
    </row>
    <row r="155" spans="41:202">
      <c r="AO155" s="398" t="s">
        <v>641</v>
      </c>
      <c r="AS155" s="401">
        <f t="shared" ref="AS155:BA155" si="157">SUM(AS143,AS153)</f>
        <v>46</v>
      </c>
      <c r="AT155" s="402">
        <f t="shared" si="157"/>
        <v>2912074.57</v>
      </c>
      <c r="AU155" s="402">
        <f t="shared" si="157"/>
        <v>1169485.3900000001</v>
      </c>
      <c r="AV155" s="402">
        <f t="shared" si="157"/>
        <v>2906370.5800000005</v>
      </c>
      <c r="AW155" s="402">
        <f t="shared" si="157"/>
        <v>575000</v>
      </c>
      <c r="AX155" s="402">
        <f t="shared" si="157"/>
        <v>587019.38164000004</v>
      </c>
      <c r="AY155" s="402">
        <f t="shared" si="157"/>
        <v>2906370.5800000005</v>
      </c>
      <c r="AZ155" s="402">
        <f t="shared" si="157"/>
        <v>632500</v>
      </c>
      <c r="BA155" s="402">
        <f t="shared" si="157"/>
        <v>563423.16899999999</v>
      </c>
    </row>
  </sheetData>
  <mergeCells count="5">
    <mergeCell ref="AT129:AU129"/>
    <mergeCell ref="AV129:AV130"/>
    <mergeCell ref="AW129:AX129"/>
    <mergeCell ref="AY129:AY130"/>
    <mergeCell ref="AZ129:BA129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1"/>
      <c r="B1" s="481"/>
      <c r="C1" s="481"/>
      <c r="D1" s="481"/>
      <c r="E1" s="481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7.6E-3</v>
      </c>
      <c r="D8" s="234">
        <v>6.1000000000000004E-3</v>
      </c>
      <c r="E8" s="314">
        <f t="shared" si="0"/>
        <v>-1.4999999999999996E-3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9.6844999999999987E-2</v>
      </c>
      <c r="D12" s="234">
        <f>SUM(D5:D11)</f>
        <v>9.5344999999999985E-2</v>
      </c>
      <c r="E12" s="315">
        <f>D12-C12</f>
        <v>-1.5000000000000013E-3</v>
      </c>
      <c r="M12" s="320"/>
    </row>
    <row r="13" spans="1:15">
      <c r="A13" s="3"/>
      <c r="B13" s="231" t="s">
        <v>9</v>
      </c>
      <c r="C13" s="226">
        <f>SUM(C5:C8)</f>
        <v>8.4099999999999994E-2</v>
      </c>
      <c r="D13" s="226">
        <f>SUM(D5:D8)</f>
        <v>8.2599999999999993E-2</v>
      </c>
      <c r="E13" s="313">
        <f t="shared" si="0"/>
        <v>-1.5000000000000013E-3</v>
      </c>
      <c r="F13" s="8"/>
    </row>
    <row r="14" spans="1:15">
      <c r="A14" s="230"/>
      <c r="B14" s="232" t="s">
        <v>100</v>
      </c>
      <c r="C14" s="226">
        <f>SUM(C5:C6,C8:C9)</f>
        <v>9.1309999999999988E-2</v>
      </c>
      <c r="D14" s="226">
        <f>SUM(D5:D6,D8:D9)</f>
        <v>8.9809999999999987E-2</v>
      </c>
      <c r="E14" s="313">
        <f>D14-C14</f>
        <v>-1.5000000000000013E-3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2" t="s">
        <v>108</v>
      </c>
      <c r="B28" s="482"/>
      <c r="C28" s="482"/>
      <c r="D28" s="482"/>
      <c r="E28" s="482"/>
    </row>
    <row r="29" spans="1:11">
      <c r="A29" s="482" t="s">
        <v>109</v>
      </c>
      <c r="B29" s="482"/>
      <c r="C29" s="482"/>
      <c r="D29" s="482"/>
      <c r="E29" s="482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8"/>
      <c r="N1" s="409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10"/>
      <c r="N2" s="411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8"/>
      <c r="N3" s="409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8">
        <v>2024</v>
      </c>
      <c r="N4" s="409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10"/>
      <c r="J5" s="412"/>
      <c r="K5" s="412"/>
      <c r="L5" s="411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3" t="s">
        <v>22</v>
      </c>
      <c r="D8" s="414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5" t="s">
        <v>103</v>
      </c>
      <c r="AB8" s="415"/>
      <c r="AC8" s="415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6" t="s">
        <v>26</v>
      </c>
      <c r="D9" s="41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6" t="s">
        <v>27</v>
      </c>
      <c r="D10" s="40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6" t="s">
        <v>28</v>
      </c>
      <c r="D11" s="40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6" t="s">
        <v>29</v>
      </c>
      <c r="D12" s="418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6" t="s">
        <v>30</v>
      </c>
      <c r="D13" s="40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4" t="s">
        <v>32</v>
      </c>
      <c r="D16" s="42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6" t="s">
        <v>34</v>
      </c>
      <c r="D17" s="42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8" t="s">
        <v>35</v>
      </c>
      <c r="D18" s="42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30" t="s">
        <v>37</v>
      </c>
      <c r="D37" s="43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2" t="s">
        <v>105</v>
      </c>
      <c r="AB37" s="433"/>
      <c r="AC37" s="43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6" t="str">
        <f>perm_name</f>
        <v>Permanent Positions</v>
      </c>
      <c r="D38" s="418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6" t="str">
        <f>Group_name</f>
        <v>Board &amp; Group Positions</v>
      </c>
      <c r="D39" s="418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6" t="s">
        <v>38</v>
      </c>
      <c r="D41" s="418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6"/>
      <c r="D42" s="43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8" t="s">
        <v>39</v>
      </c>
      <c r="D43" s="439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9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0"/>
      <c r="M43" s="420"/>
      <c r="N43" s="421"/>
      <c r="O43"/>
      <c r="P43"/>
      <c r="Q43"/>
      <c r="R43"/>
      <c r="S43"/>
      <c r="T43"/>
      <c r="U43"/>
      <c r="V43"/>
      <c r="W43"/>
      <c r="X43"/>
      <c r="Y43"/>
      <c r="Z43" s="344"/>
      <c r="AA43" s="422" t="s">
        <v>106</v>
      </c>
      <c r="AB43" s="423"/>
      <c r="AC43" s="42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40"/>
      <c r="D44" s="441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9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0"/>
      <c r="M44" s="420"/>
      <c r="N44" s="421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9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0"/>
      <c r="M45" s="420"/>
      <c r="N45" s="421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2" t="s">
        <v>98</v>
      </c>
      <c r="F46" s="443"/>
      <c r="G46" s="443"/>
      <c r="H46" s="443"/>
      <c r="I46" s="443"/>
      <c r="J46" s="444"/>
      <c r="K46" s="448" t="str">
        <f>IF(OR(J45&lt;0,F45&lt;0),"You may not have sufficient funding or authorized FTP, and may need to make additional adjustments to finalize this form.  Please contact both your DFM and LSO analysts.","")</f>
        <v/>
      </c>
      <c r="L46" s="449"/>
      <c r="M46" s="449"/>
      <c r="N46" s="450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5"/>
      <c r="F47" s="446"/>
      <c r="G47" s="446"/>
      <c r="H47" s="446"/>
      <c r="I47" s="446"/>
      <c r="J47" s="447"/>
      <c r="K47" s="451"/>
      <c r="L47" s="452"/>
      <c r="M47" s="452"/>
      <c r="N47" s="453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4"/>
      <c r="D50" s="455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6" t="s">
        <v>47</v>
      </c>
      <c r="D53" s="457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4" t="s">
        <v>48</v>
      </c>
      <c r="D54" s="435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60" t="s">
        <v>49</v>
      </c>
      <c r="D55" s="461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8" t="s">
        <v>51</v>
      </c>
      <c r="D57" s="462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3" t="s">
        <v>116</v>
      </c>
      <c r="D58" s="464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3" t="s">
        <v>52</v>
      </c>
      <c r="D59" s="464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8" t="s">
        <v>54</v>
      </c>
      <c r="D61" s="462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4" t="s">
        <v>65</v>
      </c>
      <c r="D62" s="435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4" t="s">
        <v>55</v>
      </c>
      <c r="D63" s="435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5" t="s">
        <v>56</v>
      </c>
      <c r="D64" s="466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7"/>
      <c r="D65" s="46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9"/>
      <c r="D66" s="470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8" t="s">
        <v>58</v>
      </c>
      <c r="D68" s="459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8" t="s">
        <v>59</v>
      </c>
      <c r="D69" s="459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3"/>
      <c r="D70" s="47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4" t="s">
        <v>60</v>
      </c>
      <c r="D71" s="435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4" t="s">
        <v>99</v>
      </c>
      <c r="D72" s="47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4" t="s">
        <v>117</v>
      </c>
      <c r="D73" s="47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6" t="s">
        <v>63</v>
      </c>
      <c r="D76" s="47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1"/>
      <c r="D77" s="472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1"/>
      <c r="D78" s="472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1"/>
      <c r="D79" s="472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2" priority="8">
      <formula>$J$44&lt;0</formula>
    </cfRule>
  </conditionalFormatting>
  <conditionalFormatting sqref="K43">
    <cfRule type="expression" dxfId="11" priority="7">
      <formula>$J$43&lt;0</formula>
    </cfRule>
  </conditionalFormatting>
  <conditionalFormatting sqref="L16">
    <cfRule type="expression" dxfId="10" priority="6">
      <formula>$J$16&lt;0</formula>
    </cfRule>
  </conditionalFormatting>
  <conditionalFormatting sqref="K45">
    <cfRule type="expression" dxfId="9" priority="5">
      <formula>$J$44&lt;0</formula>
    </cfRule>
  </conditionalFormatting>
  <conditionalFormatting sqref="K43:N45">
    <cfRule type="containsText" dxfId="8" priority="4" operator="containsText" text="underfunding">
      <formula>NOT(ISERROR(SEARCH("underfunding",K43)))</formula>
    </cfRule>
  </conditionalFormatting>
  <conditionalFormatting sqref="K44">
    <cfRule type="expression" dxfId="7" priority="3">
      <formula>$J$44&lt;0</formula>
    </cfRule>
  </conditionalFormatting>
  <conditionalFormatting sqref="K45">
    <cfRule type="expression" dxfId="6" priority="2">
      <formula>$J$44&lt;0</formula>
    </cfRule>
  </conditionalFormatting>
  <conditionalFormatting sqref="K45">
    <cfRule type="expression" dxfId="5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56"/>
  <sheetViews>
    <sheetView workbookViewId="0">
      <selection activeCell="G70" sqref="G70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6" t="s">
        <v>601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39">
      <c r="A2" s="413" t="s">
        <v>22</v>
      </c>
      <c r="B2" s="414"/>
      <c r="C2" s="371" t="s">
        <v>23</v>
      </c>
      <c r="D2" s="49" t="s">
        <v>24</v>
      </c>
      <c r="E2" s="50" t="str">
        <f>"FY "&amp;'EDMA|0001-00'!FiscalYear-1&amp;" SALARY"</f>
        <v>FY 2023 SALARY</v>
      </c>
      <c r="F2" s="50" t="str">
        <f>"FY "&amp;'EDMA|0001-00'!FiscalYear-1&amp;" HEALTH BENEFITS"</f>
        <v>FY 2023 HEALTH BENEFITS</v>
      </c>
      <c r="G2" s="50" t="str">
        <f>"FY "&amp;'EDMA|0001-00'!FiscalYear-1&amp;" VAR BENEFITS"</f>
        <v>FY 2023 VAR BENEFITS</v>
      </c>
      <c r="H2" s="50" t="str">
        <f>"FY "&amp;'EDMA|0001-00'!FiscalYear-1&amp;" TOTAL"</f>
        <v>FY 2023 TOTAL</v>
      </c>
      <c r="I2" s="50" t="str">
        <f>"FY "&amp;'EDMA|0001-00'!FiscalYear&amp;" SALARY CHANGE"</f>
        <v>FY 2024 SALARY CHANGE</v>
      </c>
      <c r="J2" s="50" t="str">
        <f>"FY "&amp;'EDMA|0001-00'!FiscalYear&amp;" CHG HEALTH BENEFITS"</f>
        <v>FY 2024 CHG HEALTH BENEFITS</v>
      </c>
      <c r="K2" s="50" t="str">
        <f>"FY "&amp;'EDMA|0001-00'!FiscalYear&amp;" CHG VAR BENEFITS"</f>
        <v>FY 2024 CHG VAR BENEFITS</v>
      </c>
      <c r="L2" s="50" t="s">
        <v>25</v>
      </c>
    </row>
    <row r="3" spans="1:12">
      <c r="A3" s="416" t="s">
        <v>26</v>
      </c>
      <c r="B3" s="417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6" t="s">
        <v>27</v>
      </c>
      <c r="B4" s="407"/>
      <c r="C4" s="217">
        <v>1</v>
      </c>
      <c r="D4" s="288">
        <f>[0]!EDMA000100col_INC_FTI</f>
        <v>25.8</v>
      </c>
      <c r="E4" s="218">
        <f>[0]!EDMA000100col_FTI_SALARY_PERM</f>
        <v>1519671.9200000002</v>
      </c>
      <c r="F4" s="218">
        <f>[0]!EDMA000100col_HEALTH_PERM</f>
        <v>322500</v>
      </c>
      <c r="G4" s="218">
        <f>[0]!EDMA000100col_TOT_VB_PERM</f>
        <v>327381.98629240005</v>
      </c>
      <c r="H4" s="219">
        <f>SUM(E4:G4)</f>
        <v>2169553.9062924003</v>
      </c>
      <c r="I4" s="219">
        <f>[0]!EDMA000100col_1_27TH_PP</f>
        <v>0</v>
      </c>
      <c r="J4" s="218">
        <f>[0]!EDMA000100col_HEALTH_PERM_CHG</f>
        <v>32250</v>
      </c>
      <c r="K4" s="218">
        <f>[0]!EDMA000100col_TOT_VB_PERM_CHG</f>
        <v>-13829.01447200001</v>
      </c>
      <c r="L4" s="218">
        <f>SUM(J4:K4)</f>
        <v>18420.98552799999</v>
      </c>
    </row>
    <row r="5" spans="1:12">
      <c r="A5" s="406" t="s">
        <v>28</v>
      </c>
      <c r="B5" s="407"/>
      <c r="C5" s="217">
        <v>2</v>
      </c>
      <c r="D5" s="288"/>
      <c r="E5" s="218">
        <f>[0]!EDMA000100col_Group_Salary</f>
        <v>25107.42</v>
      </c>
      <c r="F5" s="218">
        <v>0</v>
      </c>
      <c r="G5" s="218">
        <f>[0]!EDMA000100col_Group_Ben</f>
        <v>2435.89</v>
      </c>
      <c r="H5" s="219">
        <f>SUM(E5:G5)</f>
        <v>27543.309999999998</v>
      </c>
      <c r="I5" s="268"/>
      <c r="J5" s="218"/>
      <c r="K5" s="218"/>
      <c r="L5" s="218"/>
    </row>
    <row r="6" spans="1:12">
      <c r="A6" s="406" t="s">
        <v>29</v>
      </c>
      <c r="B6" s="418"/>
      <c r="C6" s="217">
        <v>3</v>
      </c>
      <c r="D6" s="288">
        <f>[0]!EDMA000100col_TOTAL_ELECT_PCN_FTI</f>
        <v>0</v>
      </c>
      <c r="E6" s="218">
        <f>[0]!EDMA000100col_FTI_SALARY_ELECT</f>
        <v>0</v>
      </c>
      <c r="F6" s="218">
        <f>[0]!EDMA000100col_HEALTH_ELECT</f>
        <v>0</v>
      </c>
      <c r="G6" s="218">
        <f>[0]!EDMA000100col_TOT_VB_ELECT</f>
        <v>0</v>
      </c>
      <c r="H6" s="219">
        <f>SUM(E6:G6)</f>
        <v>0</v>
      </c>
      <c r="I6" s="268"/>
      <c r="J6" s="218">
        <f>[0]!EDMA000100col_HEALTH_ELECT_CHG</f>
        <v>0</v>
      </c>
      <c r="K6" s="218">
        <f>[0]!EDMA000100col_TOT_VB_ELECT_CHG</f>
        <v>0</v>
      </c>
      <c r="L6" s="219">
        <f>SUM(J6:K6)</f>
        <v>0</v>
      </c>
    </row>
    <row r="7" spans="1:12">
      <c r="A7" s="406" t="s">
        <v>30</v>
      </c>
      <c r="B7" s="407"/>
      <c r="C7" s="217"/>
      <c r="D7" s="220">
        <f>SUM(D4:D6)</f>
        <v>25.8</v>
      </c>
      <c r="E7" s="221">
        <f>SUM(E4:E6)</f>
        <v>1544779.34</v>
      </c>
      <c r="F7" s="221">
        <f>SUM(F4:F6)</f>
        <v>322500</v>
      </c>
      <c r="G7" s="221">
        <f>SUM(G4:G6)</f>
        <v>329817.87629240006</v>
      </c>
      <c r="H7" s="219">
        <f>SUM(E7:G7)</f>
        <v>2197097.2162923999</v>
      </c>
      <c r="I7" s="268"/>
      <c r="J7" s="219">
        <f>SUM(J4:J6)</f>
        <v>32250</v>
      </c>
      <c r="K7" s="219">
        <f>SUM(K4:K6)</f>
        <v>-13829.01447200001</v>
      </c>
      <c r="L7" s="219">
        <f>SUM(L4:L6)</f>
        <v>18420.98552799999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"&amp;'EDMA|0001-00'!FiscalYear-1</f>
        <v>FY 2023</v>
      </c>
      <c r="B9" s="158" t="s">
        <v>31</v>
      </c>
      <c r="C9" s="355">
        <v>2530800</v>
      </c>
      <c r="D9" s="55">
        <v>30.8</v>
      </c>
      <c r="E9" s="223">
        <f>IF('EDMA|0001-00'!OrigApprop=0,0,(E7/H7)*'EDMA|0001-00'!OrigApprop)</f>
        <v>1779405.8108495197</v>
      </c>
      <c r="F9" s="223">
        <f>IF('EDMA|0001-00'!OrigApprop=0,0,(F7/H7)*'EDMA|0001-00'!OrigApprop)</f>
        <v>371482.42414930928</v>
      </c>
      <c r="G9" s="223">
        <f>IF(E9=0,0,(G7/H7)*'EDMA|0001-00'!OrigApprop)</f>
        <v>379911.76500117138</v>
      </c>
      <c r="H9" s="223">
        <f>SUM(E9:G9)</f>
        <v>2530800</v>
      </c>
      <c r="I9" s="268"/>
      <c r="J9" s="224"/>
      <c r="K9" s="224"/>
      <c r="L9" s="224"/>
    </row>
    <row r="10" spans="1:12">
      <c r="A10" s="424" t="s">
        <v>32</v>
      </c>
      <c r="B10" s="425"/>
      <c r="C10" s="160" t="s">
        <v>33</v>
      </c>
      <c r="D10" s="161">
        <f>D9-D7</f>
        <v>5</v>
      </c>
      <c r="E10" s="162">
        <f>E9-E7</f>
        <v>234626.4708495196</v>
      </c>
      <c r="F10" s="162">
        <f>F9-F7</f>
        <v>48982.424149309285</v>
      </c>
      <c r="G10" s="162">
        <f>G9-G7</f>
        <v>50093.888708771323</v>
      </c>
      <c r="H10" s="162">
        <f>H9-H7</f>
        <v>333702.78370760009</v>
      </c>
      <c r="I10" s="269"/>
      <c r="J10" s="56" t="str">
        <f>IF('EDMA|0001-00'!OrigApprop=0,"No Original Appropriation amount in DU 3.00 for this fund","Calculated "&amp;IF('EDMA|0001-00'!AdjustedTotal&gt;0,"overfunding ","underfunding ")&amp;"is "&amp;TEXT('EDMA|0001-00'!AdjustedTotal/'EDMA|0001-00'!AppropTotal,"#.0%;(#.0% );0% ;")&amp;" of Original Appropriation")</f>
        <v>Calculated overfunding is 13.2% of Original Appropriation</v>
      </c>
      <c r="K10" s="163"/>
      <c r="L10" s="164"/>
    </row>
    <row r="12" spans="1:12">
      <c r="A12" s="396" t="s">
        <v>607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</row>
    <row r="13" spans="1:12" ht="39">
      <c r="A13" s="413" t="s">
        <v>22</v>
      </c>
      <c r="B13" s="414"/>
      <c r="C13" s="371" t="s">
        <v>23</v>
      </c>
      <c r="D13" s="49" t="s">
        <v>24</v>
      </c>
      <c r="E13" s="50" t="str">
        <f>"FY "&amp;'EDMA|0348-00'!FiscalYear-1&amp;" SALARY"</f>
        <v>FY 2023 SALARY</v>
      </c>
      <c r="F13" s="50" t="str">
        <f>"FY "&amp;'EDMA|0348-00'!FiscalYear-1&amp;" HEALTH BENEFITS"</f>
        <v>FY 2023 HEALTH BENEFITS</v>
      </c>
      <c r="G13" s="50" t="str">
        <f>"FY "&amp;'EDMA|0348-00'!FiscalYear-1&amp;" VAR BENEFITS"</f>
        <v>FY 2023 VAR BENEFITS</v>
      </c>
      <c r="H13" s="50" t="str">
        <f>"FY "&amp;'EDMA|0348-00'!FiscalYear-1&amp;" TOTAL"</f>
        <v>FY 2023 TOTAL</v>
      </c>
      <c r="I13" s="50" t="str">
        <f>"FY "&amp;'EDMA|0348-00'!FiscalYear&amp;" SALARY CHANGE"</f>
        <v>FY 2024 SALARY CHANGE</v>
      </c>
      <c r="J13" s="50" t="str">
        <f>"FY "&amp;'EDMA|0348-00'!FiscalYear&amp;" CHG HEALTH BENEFITS"</f>
        <v>FY 2024 CHG HEALTH BENEFITS</v>
      </c>
      <c r="K13" s="50" t="str">
        <f>"FY "&amp;'EDMA|0348-00'!FiscalYear&amp;" CHG VAR BENEFITS"</f>
        <v>FY 2024 CHG VAR BENEFITS</v>
      </c>
      <c r="L13" s="50" t="s">
        <v>25</v>
      </c>
    </row>
    <row r="14" spans="1:12">
      <c r="A14" s="416" t="s">
        <v>26</v>
      </c>
      <c r="B14" s="417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>
      <c r="A15" s="406" t="s">
        <v>27</v>
      </c>
      <c r="B15" s="407"/>
      <c r="C15" s="217">
        <v>1</v>
      </c>
      <c r="D15" s="288">
        <f>[0]!EDMA034800col_INC_FTI</f>
        <v>9.5</v>
      </c>
      <c r="E15" s="218">
        <f>[0]!EDMA034800col_FTI_SALARY_PERM</f>
        <v>578754.79999999993</v>
      </c>
      <c r="F15" s="218">
        <f>[0]!EDMA034800col_HEALTH_PERM</f>
        <v>118750</v>
      </c>
      <c r="G15" s="218">
        <f>[0]!EDMA034800col_TOT_VB_PERM</f>
        <v>125081.45236599998</v>
      </c>
      <c r="H15" s="219">
        <f>SUM(E15:G15)</f>
        <v>822586.25236599986</v>
      </c>
      <c r="I15" s="219">
        <f>[0]!EDMA034800col_1_27TH_PP</f>
        <v>0</v>
      </c>
      <c r="J15" s="218">
        <f>[0]!EDMA034800col_HEALTH_PERM_CHG</f>
        <v>11875</v>
      </c>
      <c r="K15" s="218">
        <f>[0]!EDMA034800col_TOT_VB_PERM_CHG</f>
        <v>-5266.6686800000061</v>
      </c>
      <c r="L15" s="218">
        <f>SUM(J15:K15)</f>
        <v>6608.3313199999939</v>
      </c>
    </row>
    <row r="16" spans="1:12">
      <c r="A16" s="406" t="s">
        <v>28</v>
      </c>
      <c r="B16" s="407"/>
      <c r="C16" s="217">
        <v>2</v>
      </c>
      <c r="D16" s="288"/>
      <c r="E16" s="218">
        <f>[0]!EDMA034800col_Group_Salary</f>
        <v>37147.879999999997</v>
      </c>
      <c r="F16" s="218">
        <v>0</v>
      </c>
      <c r="G16" s="218">
        <f>[0]!EDMA034800col_Group_Ben</f>
        <v>3205.73</v>
      </c>
      <c r="H16" s="219">
        <f>SUM(E16:G16)</f>
        <v>40353.61</v>
      </c>
      <c r="I16" s="268"/>
      <c r="J16" s="218"/>
      <c r="K16" s="218"/>
      <c r="L16" s="218"/>
    </row>
    <row r="17" spans="1:12">
      <c r="A17" s="406" t="s">
        <v>29</v>
      </c>
      <c r="B17" s="418"/>
      <c r="C17" s="217">
        <v>3</v>
      </c>
      <c r="D17" s="288">
        <f>[0]!EDMA034800col_TOTAL_ELECT_PCN_FTI</f>
        <v>0</v>
      </c>
      <c r="E17" s="218">
        <f>[0]!EDMA034800col_FTI_SALARY_ELECT</f>
        <v>0</v>
      </c>
      <c r="F17" s="218">
        <f>[0]!EDMA034800col_HEALTH_ELECT</f>
        <v>0</v>
      </c>
      <c r="G17" s="218">
        <f>[0]!EDMA034800col_TOT_VB_ELECT</f>
        <v>0</v>
      </c>
      <c r="H17" s="219">
        <f>SUM(E17:G17)</f>
        <v>0</v>
      </c>
      <c r="I17" s="268"/>
      <c r="J17" s="218">
        <f>[0]!EDMA034800col_HEALTH_ELECT_CHG</f>
        <v>0</v>
      </c>
      <c r="K17" s="218">
        <f>[0]!EDMA034800col_TOT_VB_ELECT_CHG</f>
        <v>0</v>
      </c>
      <c r="L17" s="219">
        <f>SUM(J17:K17)</f>
        <v>0</v>
      </c>
    </row>
    <row r="18" spans="1:12">
      <c r="A18" s="406" t="s">
        <v>30</v>
      </c>
      <c r="B18" s="407"/>
      <c r="C18" s="217"/>
      <c r="D18" s="220">
        <f>SUM(D15:D17)</f>
        <v>9.5</v>
      </c>
      <c r="E18" s="221">
        <f>SUM(E15:E17)</f>
        <v>615902.67999999993</v>
      </c>
      <c r="F18" s="221">
        <f>SUM(F15:F17)</f>
        <v>118750</v>
      </c>
      <c r="G18" s="221">
        <f>SUM(G15:G17)</f>
        <v>128287.18236599998</v>
      </c>
      <c r="H18" s="219">
        <f>SUM(E18:G18)</f>
        <v>862939.86236599996</v>
      </c>
      <c r="I18" s="268"/>
      <c r="J18" s="219">
        <f>SUM(J15:J17)</f>
        <v>11875</v>
      </c>
      <c r="K18" s="219">
        <f>SUM(K15:K17)</f>
        <v>-5266.6686800000061</v>
      </c>
      <c r="L18" s="219">
        <f>SUM(L15:L17)</f>
        <v>6608.3313199999939</v>
      </c>
    </row>
    <row r="19" spans="1:12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>
      <c r="A20" s="157" t="str">
        <f>"FY "&amp;'EDMA|0348-00'!FiscalYear-1</f>
        <v>FY 2023</v>
      </c>
      <c r="B20" s="158" t="s">
        <v>31</v>
      </c>
      <c r="C20" s="355">
        <v>1091400</v>
      </c>
      <c r="D20" s="55">
        <v>10.8</v>
      </c>
      <c r="E20" s="223">
        <f>IF('EDMA|0348-00'!OrigApprop=0,0,(E18/H18)*'EDMA|0348-00'!OrigApprop)</f>
        <v>778960.63708191563</v>
      </c>
      <c r="F20" s="223">
        <f>IF('EDMA|0348-00'!OrigApprop=0,0,(F18/H18)*'EDMA|0348-00'!OrigApprop)</f>
        <v>150188.62339335412</v>
      </c>
      <c r="G20" s="223">
        <f>IF(E20=0,0,(G18/H18)*'EDMA|0348-00'!OrigApprop)</f>
        <v>162250.73952473019</v>
      </c>
      <c r="H20" s="223">
        <f>SUM(E20:G20)</f>
        <v>1091400</v>
      </c>
      <c r="I20" s="268"/>
      <c r="J20" s="224"/>
      <c r="K20" s="224"/>
      <c r="L20" s="224"/>
    </row>
    <row r="21" spans="1:12">
      <c r="A21" s="424" t="s">
        <v>32</v>
      </c>
      <c r="B21" s="425"/>
      <c r="C21" s="160" t="s">
        <v>33</v>
      </c>
      <c r="D21" s="161">
        <f>D20-D18</f>
        <v>1.3000000000000007</v>
      </c>
      <c r="E21" s="162">
        <f>E20-E18</f>
        <v>163057.95708191569</v>
      </c>
      <c r="F21" s="162">
        <f>F20-F18</f>
        <v>31438.623393354123</v>
      </c>
      <c r="G21" s="162">
        <f>G20-G18</f>
        <v>33963.557158730211</v>
      </c>
      <c r="H21" s="162">
        <f>H20-H18</f>
        <v>228460.13763400004</v>
      </c>
      <c r="I21" s="269"/>
      <c r="J21" s="56" t="str">
        <f>IF('EDMA|0348-00'!OrigApprop=0,"No Original Appropriation amount in DU 3.00 for this fund","Calculated "&amp;IF('EDMA|0348-00'!AdjustedTotal&gt;0,"overfunding ","underfunding ")&amp;"is "&amp;TEXT('EDMA|0348-00'!AdjustedTotal/'EDMA|0348-00'!AppropTotal,"#.0%;(#.0% );0% ;")&amp;" of Original Appropriation")</f>
        <v>Calculated overfunding is 20.9% of Original Appropriation</v>
      </c>
      <c r="K21" s="163"/>
      <c r="L21" s="164"/>
    </row>
    <row r="23" spans="1:12">
      <c r="A23" s="396" t="s">
        <v>613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ht="39">
      <c r="A24" s="413" t="s">
        <v>22</v>
      </c>
      <c r="B24" s="414"/>
      <c r="C24" s="371" t="s">
        <v>23</v>
      </c>
      <c r="D24" s="49" t="s">
        <v>24</v>
      </c>
      <c r="E24" s="50" t="str">
        <f>"FY "&amp;'EDMA|0349-00'!FiscalYear-1&amp;" SALARY"</f>
        <v>FY 2023 SALARY</v>
      </c>
      <c r="F24" s="50" t="str">
        <f>"FY "&amp;'EDMA|0349-00'!FiscalYear-1&amp;" HEALTH BENEFITS"</f>
        <v>FY 2023 HEALTH BENEFITS</v>
      </c>
      <c r="G24" s="50" t="str">
        <f>"FY "&amp;'EDMA|0349-00'!FiscalYear-1&amp;" VAR BENEFITS"</f>
        <v>FY 2023 VAR BENEFITS</v>
      </c>
      <c r="H24" s="50" t="str">
        <f>"FY "&amp;'EDMA|0349-00'!FiscalYear-1&amp;" TOTAL"</f>
        <v>FY 2023 TOTAL</v>
      </c>
      <c r="I24" s="50" t="str">
        <f>"FY "&amp;'EDMA|0349-00'!FiscalYear&amp;" SALARY CHANGE"</f>
        <v>FY 2024 SALARY CHANGE</v>
      </c>
      <c r="J24" s="50" t="str">
        <f>"FY "&amp;'EDMA|0349-00'!FiscalYear&amp;" CHG HEALTH BENEFITS"</f>
        <v>FY 2024 CHG HEALTH BENEFITS</v>
      </c>
      <c r="K24" s="50" t="str">
        <f>"FY "&amp;'EDMA|0349-00'!FiscalYear&amp;" CHG VAR BENEFITS"</f>
        <v>FY 2024 CHG VAR BENEFITS</v>
      </c>
      <c r="L24" s="50" t="s">
        <v>25</v>
      </c>
    </row>
    <row r="25" spans="1:12">
      <c r="A25" s="416" t="s">
        <v>26</v>
      </c>
      <c r="B25" s="417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>
      <c r="A26" s="406" t="s">
        <v>27</v>
      </c>
      <c r="B26" s="407"/>
      <c r="C26" s="217">
        <v>1</v>
      </c>
      <c r="D26" s="288">
        <f>[0]!EDMA034900col_INC_FTI</f>
        <v>7</v>
      </c>
      <c r="E26" s="218">
        <f>[0]!EDMA034900col_FTI_SALARY_PERM</f>
        <v>320840</v>
      </c>
      <c r="F26" s="218">
        <f>[0]!EDMA034900col_HEALTH_PERM</f>
        <v>87500</v>
      </c>
      <c r="G26" s="218">
        <f>[0]!EDMA034900col_TOT_VB_PERM</f>
        <v>69380.045800000007</v>
      </c>
      <c r="H26" s="219">
        <f>SUM(E26:G26)</f>
        <v>477720.04580000002</v>
      </c>
      <c r="I26" s="219">
        <f>[0]!EDMA034900col_1_27TH_PP</f>
        <v>0</v>
      </c>
      <c r="J26" s="218">
        <f>[0]!EDMA034900col_HEALTH_PERM_CHG</f>
        <v>8750</v>
      </c>
      <c r="K26" s="218">
        <f>[0]!EDMA034900col_TOT_VB_PERM_CHG</f>
        <v>-2919.6440000000025</v>
      </c>
      <c r="L26" s="218">
        <f>SUM(J26:K26)</f>
        <v>5830.3559999999979</v>
      </c>
    </row>
    <row r="27" spans="1:12">
      <c r="A27" s="406" t="s">
        <v>28</v>
      </c>
      <c r="B27" s="407"/>
      <c r="C27" s="217">
        <v>2</v>
      </c>
      <c r="D27" s="288"/>
      <c r="E27" s="218">
        <f>[0]!EDMA034900col_Group_Salary</f>
        <v>251124.88</v>
      </c>
      <c r="F27" s="218">
        <v>0</v>
      </c>
      <c r="G27" s="218">
        <f>[0]!EDMA034900col_Group_Ben</f>
        <v>21967.399999999998</v>
      </c>
      <c r="H27" s="219">
        <f>SUM(E27:G27)</f>
        <v>273092.28000000003</v>
      </c>
      <c r="I27" s="268"/>
      <c r="J27" s="218"/>
      <c r="K27" s="218"/>
      <c r="L27" s="218"/>
    </row>
    <row r="28" spans="1:12">
      <c r="A28" s="406" t="s">
        <v>29</v>
      </c>
      <c r="B28" s="418"/>
      <c r="C28" s="217">
        <v>3</v>
      </c>
      <c r="D28" s="288">
        <f>[0]!EDMA034900col_TOTAL_ELECT_PCN_FTI</f>
        <v>0</v>
      </c>
      <c r="E28" s="218">
        <f>[0]!EDMA034900col_FTI_SALARY_ELECT</f>
        <v>0</v>
      </c>
      <c r="F28" s="218">
        <f>[0]!EDMA034900col_HEALTH_ELECT</f>
        <v>0</v>
      </c>
      <c r="G28" s="218">
        <f>[0]!EDMA034900col_TOT_VB_ELECT</f>
        <v>0</v>
      </c>
      <c r="H28" s="219">
        <f>SUM(E28:G28)</f>
        <v>0</v>
      </c>
      <c r="I28" s="268"/>
      <c r="J28" s="218">
        <f>[0]!EDMA034900col_HEALTH_ELECT_CHG</f>
        <v>0</v>
      </c>
      <c r="K28" s="218">
        <f>[0]!EDMA034900col_TOT_VB_ELECT_CHG</f>
        <v>0</v>
      </c>
      <c r="L28" s="219">
        <f>SUM(J28:K28)</f>
        <v>0</v>
      </c>
    </row>
    <row r="29" spans="1:12">
      <c r="A29" s="406" t="s">
        <v>30</v>
      </c>
      <c r="B29" s="407"/>
      <c r="C29" s="217"/>
      <c r="D29" s="220">
        <f>SUM(D26:D28)</f>
        <v>7</v>
      </c>
      <c r="E29" s="221">
        <f>SUM(E26:E28)</f>
        <v>571964.88</v>
      </c>
      <c r="F29" s="221">
        <f>SUM(F26:F28)</f>
        <v>87500</v>
      </c>
      <c r="G29" s="221">
        <f>SUM(G26:G28)</f>
        <v>91347.445800000001</v>
      </c>
      <c r="H29" s="219">
        <f>SUM(E29:G29)</f>
        <v>750812.32579999999</v>
      </c>
      <c r="I29" s="268"/>
      <c r="J29" s="219">
        <f>SUM(J26:J28)</f>
        <v>8750</v>
      </c>
      <c r="K29" s="219">
        <f>SUM(K26:K28)</f>
        <v>-2919.6440000000025</v>
      </c>
      <c r="L29" s="219">
        <f>SUM(L26:L28)</f>
        <v>5830.3559999999979</v>
      </c>
    </row>
    <row r="30" spans="1:12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>
      <c r="A31" s="157" t="str">
        <f>"FY "&amp;'EDMA|0349-00'!FiscalYear-1</f>
        <v>FY 2023</v>
      </c>
      <c r="B31" s="158" t="s">
        <v>31</v>
      </c>
      <c r="C31" s="355">
        <v>1037500</v>
      </c>
      <c r="D31" s="55">
        <v>12.4</v>
      </c>
      <c r="E31" s="223">
        <f>IF('EDMA|0349-00'!OrigApprop=0,0,(E29/H29)*'EDMA|0349-00'!OrigApprop)</f>
        <v>790362.04202922527</v>
      </c>
      <c r="F31" s="223">
        <f>IF('EDMA|0349-00'!OrigApprop=0,0,(F29/H29)*'EDMA|0349-00'!OrigApprop)</f>
        <v>120910.7081496983</v>
      </c>
      <c r="G31" s="223">
        <f>IF(E31=0,0,(G29/H29)*'EDMA|0349-00'!OrigApprop)</f>
        <v>126227.2498210764</v>
      </c>
      <c r="H31" s="223">
        <f>SUM(E31:G31)</f>
        <v>1037500</v>
      </c>
      <c r="I31" s="268"/>
      <c r="J31" s="224"/>
      <c r="K31" s="224"/>
      <c r="L31" s="224"/>
    </row>
    <row r="32" spans="1:12">
      <c r="A32" s="424" t="s">
        <v>32</v>
      </c>
      <c r="B32" s="425"/>
      <c r="C32" s="160" t="s">
        <v>33</v>
      </c>
      <c r="D32" s="161">
        <f>D31-D29</f>
        <v>5.4</v>
      </c>
      <c r="E32" s="162">
        <f>E31-E29</f>
        <v>218397.16202922526</v>
      </c>
      <c r="F32" s="162">
        <f>F31-F29</f>
        <v>33410.708149698301</v>
      </c>
      <c r="G32" s="162">
        <f>G31-G29</f>
        <v>34879.804021076401</v>
      </c>
      <c r="H32" s="162">
        <f>H31-H29</f>
        <v>286687.67420000001</v>
      </c>
      <c r="I32" s="269"/>
      <c r="J32" s="56" t="str">
        <f>IF('EDMA|0349-00'!OrigApprop=0,"No Original Appropriation amount in DU 3.00 for this fund","Calculated "&amp;IF('EDMA|0349-00'!AdjustedTotal&gt;0,"overfunding ","underfunding ")&amp;"is "&amp;TEXT('EDMA|0349-00'!AdjustedTotal/'EDMA|0349-00'!AppropTotal,"#.0%;(#.0% );0% ;")&amp;" of Original Appropriation")</f>
        <v>Calculated overfunding is 27.6% of Original Appropriation</v>
      </c>
      <c r="K32" s="163"/>
      <c r="L32" s="164"/>
    </row>
    <row r="34" spans="1:12">
      <c r="A34" s="396" t="s">
        <v>619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</row>
    <row r="35" spans="1:12" ht="39">
      <c r="A35" s="413" t="s">
        <v>22</v>
      </c>
      <c r="B35" s="414"/>
      <c r="C35" s="371" t="s">
        <v>23</v>
      </c>
      <c r="D35" s="49" t="s">
        <v>24</v>
      </c>
      <c r="E35" s="50" t="str">
        <f>"FY "&amp;'EDMA|0481-09'!FiscalYear-1&amp;" SALARY"</f>
        <v>FY 2023 SALARY</v>
      </c>
      <c r="F35" s="50" t="str">
        <f>"FY "&amp;'EDMA|0481-09'!FiscalYear-1&amp;" HEALTH BENEFITS"</f>
        <v>FY 2023 HEALTH BENEFITS</v>
      </c>
      <c r="G35" s="50" t="str">
        <f>"FY "&amp;'EDMA|0481-09'!FiscalYear-1&amp;" VAR BENEFITS"</f>
        <v>FY 2023 VAR BENEFITS</v>
      </c>
      <c r="H35" s="50" t="str">
        <f>"FY "&amp;'EDMA|0481-09'!FiscalYear-1&amp;" TOTAL"</f>
        <v>FY 2023 TOTAL</v>
      </c>
      <c r="I35" s="50" t="str">
        <f>"FY "&amp;'EDMA|0481-09'!FiscalYear&amp;" SALARY CHANGE"</f>
        <v>FY 2024 SALARY CHANGE</v>
      </c>
      <c r="J35" s="50" t="str">
        <f>"FY "&amp;'EDMA|0481-09'!FiscalYear&amp;" CHG HEALTH BENEFITS"</f>
        <v>FY 2024 CHG HEALTH BENEFITS</v>
      </c>
      <c r="K35" s="50" t="str">
        <f>"FY "&amp;'EDMA|0481-09'!FiscalYear&amp;" CHG VAR BENEFITS"</f>
        <v>FY 2024 CHG VAR BENEFITS</v>
      </c>
      <c r="L35" s="50" t="s">
        <v>25</v>
      </c>
    </row>
    <row r="36" spans="1:12">
      <c r="A36" s="416" t="s">
        <v>26</v>
      </c>
      <c r="B36" s="417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>
      <c r="A37" s="406" t="s">
        <v>27</v>
      </c>
      <c r="B37" s="407"/>
      <c r="C37" s="217">
        <v>1</v>
      </c>
      <c r="D37" s="288">
        <f>[0]!EDMA048109col_INC_FTI</f>
        <v>1</v>
      </c>
      <c r="E37" s="218">
        <f>[0]!EDMA048109col_FTI_SALARY_PERM</f>
        <v>54121.599999999999</v>
      </c>
      <c r="F37" s="218">
        <f>[0]!EDMA048109col_HEALTH_PERM</f>
        <v>12500</v>
      </c>
      <c r="G37" s="218">
        <f>[0]!EDMA048109col_TOT_VB_PERM</f>
        <v>11703.525392000001</v>
      </c>
      <c r="H37" s="219">
        <f>SUM(E37:G37)</f>
        <v>78325.125392000002</v>
      </c>
      <c r="I37" s="219">
        <f>[0]!EDMA048109col_1_27TH_PP</f>
        <v>0</v>
      </c>
      <c r="J37" s="218">
        <f>[0]!EDMA048109col_HEALTH_PERM_CHG</f>
        <v>1250</v>
      </c>
      <c r="K37" s="218">
        <f>[0]!EDMA048109col_TOT_VB_PERM_CHG</f>
        <v>-492.50656000000049</v>
      </c>
      <c r="L37" s="218">
        <f>SUM(J37:K37)</f>
        <v>757.49343999999951</v>
      </c>
    </row>
    <row r="38" spans="1:12">
      <c r="A38" s="406" t="s">
        <v>28</v>
      </c>
      <c r="B38" s="407"/>
      <c r="C38" s="217">
        <v>2</v>
      </c>
      <c r="D38" s="288"/>
      <c r="E38" s="218">
        <f>[0]!EDMA048109col_Group_Salary</f>
        <v>0</v>
      </c>
      <c r="F38" s="218">
        <v>0</v>
      </c>
      <c r="G38" s="218">
        <f>[0]!EDMA048109col_Group_Ben</f>
        <v>0</v>
      </c>
      <c r="H38" s="219">
        <f>SUM(E38:G38)</f>
        <v>0</v>
      </c>
      <c r="I38" s="268"/>
      <c r="J38" s="218"/>
      <c r="K38" s="218"/>
      <c r="L38" s="218"/>
    </row>
    <row r="39" spans="1:12">
      <c r="A39" s="406" t="s">
        <v>29</v>
      </c>
      <c r="B39" s="418"/>
      <c r="C39" s="217">
        <v>3</v>
      </c>
      <c r="D39" s="288">
        <f>[0]!EDMA048109col_TOTAL_ELECT_PCN_FTI</f>
        <v>0</v>
      </c>
      <c r="E39" s="218">
        <f>[0]!EDMA048109col_FTI_SALARY_ELECT</f>
        <v>0</v>
      </c>
      <c r="F39" s="218">
        <f>[0]!EDMA048109col_HEALTH_ELECT</f>
        <v>0</v>
      </c>
      <c r="G39" s="218">
        <f>[0]!EDMA048109col_TOT_VB_ELECT</f>
        <v>0</v>
      </c>
      <c r="H39" s="219">
        <f>SUM(E39:G39)</f>
        <v>0</v>
      </c>
      <c r="I39" s="268"/>
      <c r="J39" s="218">
        <f>[0]!EDMA048109col_HEALTH_ELECT_CHG</f>
        <v>0</v>
      </c>
      <c r="K39" s="218">
        <f>[0]!EDMA048109col_TOT_VB_ELECT_CHG</f>
        <v>0</v>
      </c>
      <c r="L39" s="219">
        <f>SUM(J39:K39)</f>
        <v>0</v>
      </c>
    </row>
    <row r="40" spans="1:12">
      <c r="A40" s="406" t="s">
        <v>30</v>
      </c>
      <c r="B40" s="407"/>
      <c r="C40" s="217"/>
      <c r="D40" s="220">
        <f>SUM(D37:D39)</f>
        <v>1</v>
      </c>
      <c r="E40" s="221">
        <f>SUM(E37:E39)</f>
        <v>54121.599999999999</v>
      </c>
      <c r="F40" s="221">
        <f>SUM(F37:F39)</f>
        <v>12500</v>
      </c>
      <c r="G40" s="221">
        <f>SUM(G37:G39)</f>
        <v>11703.525392000001</v>
      </c>
      <c r="H40" s="219">
        <f>SUM(E40:G40)</f>
        <v>78325.125392000002</v>
      </c>
      <c r="I40" s="268"/>
      <c r="J40" s="219">
        <f>SUM(J37:J39)</f>
        <v>1250</v>
      </c>
      <c r="K40" s="219">
        <f>SUM(K37:K39)</f>
        <v>-492.50656000000049</v>
      </c>
      <c r="L40" s="219">
        <f>SUM(L37:L39)</f>
        <v>757.49343999999951</v>
      </c>
    </row>
    <row r="41" spans="1:12">
      <c r="A41" s="366"/>
      <c r="B41" s="372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>
      <c r="A42" s="157" t="str">
        <f>"FY "&amp;'EDMA|0481-09'!FiscalYear-1</f>
        <v>FY 2023</v>
      </c>
      <c r="B42" s="158" t="s">
        <v>31</v>
      </c>
      <c r="C42" s="355">
        <v>78700</v>
      </c>
      <c r="D42" s="55">
        <v>1</v>
      </c>
      <c r="E42" s="223">
        <f>IF('EDMA|0481-09'!OrigApprop=0,0,(E40/H40)*'EDMA|0481-09'!OrigApprop)</f>
        <v>54380.633272947751</v>
      </c>
      <c r="F42" s="223">
        <f>IF('EDMA|0481-09'!OrigApprop=0,0,(F40/H40)*'EDMA|0481-09'!OrigApprop)</f>
        <v>12559.826684943662</v>
      </c>
      <c r="G42" s="223">
        <f>IF(E42=0,0,(G40/H40)*'EDMA|0481-09'!OrigApprop)</f>
        <v>11759.540042108587</v>
      </c>
      <c r="H42" s="223">
        <f>SUM(E42:G42)</f>
        <v>78700</v>
      </c>
      <c r="I42" s="268"/>
      <c r="J42" s="224"/>
      <c r="K42" s="224"/>
      <c r="L42" s="224"/>
    </row>
    <row r="43" spans="1:12">
      <c r="A43" s="424" t="s">
        <v>32</v>
      </c>
      <c r="B43" s="425"/>
      <c r="C43" s="160" t="s">
        <v>33</v>
      </c>
      <c r="D43" s="161">
        <f>D42-D40</f>
        <v>0</v>
      </c>
      <c r="E43" s="162">
        <f>E42-E40</f>
        <v>259.03327294775227</v>
      </c>
      <c r="F43" s="162">
        <f>F42-F40</f>
        <v>59.826684943662258</v>
      </c>
      <c r="G43" s="162">
        <f>G42-G40</f>
        <v>56.014650108585556</v>
      </c>
      <c r="H43" s="162">
        <f>H42-H40</f>
        <v>374.87460799999826</v>
      </c>
      <c r="I43" s="269"/>
      <c r="J43" s="56" t="str">
        <f>IF('EDMA|0481-09'!OrigApprop=0,"No Original Appropriation amount in DU 3.00 for this fund","Calculated "&amp;IF('EDMA|0481-09'!AdjustedTotal&gt;0,"overfunding ","underfunding ")&amp;"is "&amp;TEXT('EDMA|0481-09'!AdjustedTotal/'EDMA|0481-09'!AppropTotal,"#.0%;(#.0% );0% ;")&amp;" of Original Appropriation")</f>
        <v>Calculated overfunding is .5% of Original Appropriation</v>
      </c>
      <c r="K43" s="163"/>
      <c r="L43" s="164"/>
    </row>
    <row r="47" spans="1:12">
      <c r="A47" s="396" t="s">
        <v>625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</row>
    <row r="48" spans="1:12" ht="39">
      <c r="A48" s="413" t="s">
        <v>22</v>
      </c>
      <c r="B48" s="414"/>
      <c r="C48" s="371" t="s">
        <v>23</v>
      </c>
      <c r="D48" s="49" t="s">
        <v>24</v>
      </c>
      <c r="E48" s="50" t="str">
        <f>"FY "&amp;'EDMB|0450-75'!FiscalYear-1&amp;" SALARY"</f>
        <v>FY 2023 SALARY</v>
      </c>
      <c r="F48" s="50" t="str">
        <f>"FY "&amp;'EDMB|0450-75'!FiscalYear-1&amp;" HEALTH BENEFITS"</f>
        <v>FY 2023 HEALTH BENEFITS</v>
      </c>
      <c r="G48" s="50" t="str">
        <f>"FY "&amp;'EDMB|0450-75'!FiscalYear-1&amp;" VAR BENEFITS"</f>
        <v>FY 2023 VAR BENEFITS</v>
      </c>
      <c r="H48" s="50" t="str">
        <f>"FY "&amp;'EDMB|0450-75'!FiscalYear-1&amp;" TOTAL"</f>
        <v>FY 2023 TOTAL</v>
      </c>
      <c r="I48" s="50" t="str">
        <f>"FY "&amp;'EDMB|0450-75'!FiscalYear&amp;" SALARY CHANGE"</f>
        <v>FY 2024 SALARY CHANGE</v>
      </c>
      <c r="J48" s="50" t="str">
        <f>"FY "&amp;'EDMB|0450-75'!FiscalYear&amp;" CHG HEALTH BENEFITS"</f>
        <v>FY 2024 CHG HEALTH BENEFITS</v>
      </c>
      <c r="K48" s="50" t="str">
        <f>"FY "&amp;'EDMB|0450-75'!FiscalYear&amp;" CHG VAR BENEFITS"</f>
        <v>FY 2024 CHG VAR BENEFITS</v>
      </c>
      <c r="L48" s="50" t="s">
        <v>25</v>
      </c>
    </row>
    <row r="49" spans="1:12">
      <c r="A49" s="416" t="s">
        <v>26</v>
      </c>
      <c r="B49" s="417"/>
      <c r="C49" s="141"/>
      <c r="D49" s="142"/>
      <c r="E49" s="143"/>
      <c r="F49" s="143"/>
      <c r="G49" s="143"/>
      <c r="H49" s="144"/>
      <c r="I49" s="144"/>
      <c r="J49" s="145"/>
      <c r="K49" s="146"/>
      <c r="L49" s="144"/>
    </row>
    <row r="50" spans="1:12">
      <c r="A50" s="406" t="s">
        <v>27</v>
      </c>
      <c r="B50" s="407"/>
      <c r="C50" s="217">
        <v>1</v>
      </c>
      <c r="D50" s="288">
        <f>[0]!EDMB045075col_INC_FTI</f>
        <v>2.7</v>
      </c>
      <c r="E50" s="218">
        <f>[0]!EDMB045075col_FTI_SALARY_PERM</f>
        <v>119602.08000000002</v>
      </c>
      <c r="F50" s="218">
        <f>[0]!EDMB045075col_HEALTH_PERM</f>
        <v>33750</v>
      </c>
      <c r="G50" s="218">
        <f>[0]!EDMB045075col_TOT_VB_PERM</f>
        <v>25863.351789600001</v>
      </c>
      <c r="H50" s="219">
        <f>SUM(E50:G50)</f>
        <v>179215.43178960003</v>
      </c>
      <c r="I50" s="219">
        <f>[0]!EDMB045075col_1_27TH_PP</f>
        <v>0</v>
      </c>
      <c r="J50" s="218">
        <f>[0]!EDMB045075col_HEALTH_PERM_CHG</f>
        <v>3375</v>
      </c>
      <c r="K50" s="218">
        <f>[0]!EDMB045075col_TOT_VB_PERM_CHG</f>
        <v>-1088.378928000001</v>
      </c>
      <c r="L50" s="218">
        <f>SUM(J50:K50)</f>
        <v>2286.621071999999</v>
      </c>
    </row>
    <row r="51" spans="1:12">
      <c r="A51" s="406" t="s">
        <v>28</v>
      </c>
      <c r="B51" s="407"/>
      <c r="C51" s="217">
        <v>2</v>
      </c>
      <c r="D51" s="288"/>
      <c r="E51" s="218">
        <f>[0]!EDMB045075col_Group_Salary</f>
        <v>0</v>
      </c>
      <c r="F51" s="218">
        <v>0</v>
      </c>
      <c r="G51" s="218">
        <f>[0]!EDMB045075col_Group_Ben</f>
        <v>0</v>
      </c>
      <c r="H51" s="219">
        <f>SUM(E51:G51)</f>
        <v>0</v>
      </c>
      <c r="I51" s="268"/>
      <c r="J51" s="218"/>
      <c r="K51" s="218"/>
      <c r="L51" s="218"/>
    </row>
    <row r="52" spans="1:12">
      <c r="A52" s="406" t="s">
        <v>29</v>
      </c>
      <c r="B52" s="418"/>
      <c r="C52" s="217">
        <v>3</v>
      </c>
      <c r="D52" s="288">
        <f>[0]!EDMB045075col_TOTAL_ELECT_PCN_FTI</f>
        <v>0</v>
      </c>
      <c r="E52" s="218">
        <f>[0]!EDMB045075col_FTI_SALARY_ELECT</f>
        <v>0</v>
      </c>
      <c r="F52" s="218">
        <f>[0]!EDMB045075col_HEALTH_ELECT</f>
        <v>0</v>
      </c>
      <c r="G52" s="218">
        <f>[0]!EDMB045075col_TOT_VB_ELECT</f>
        <v>0</v>
      </c>
      <c r="H52" s="219">
        <f>SUM(E52:G52)</f>
        <v>0</v>
      </c>
      <c r="I52" s="268"/>
      <c r="J52" s="218">
        <f>[0]!EDMB045075col_HEALTH_ELECT_CHG</f>
        <v>0</v>
      </c>
      <c r="K52" s="218">
        <f>[0]!EDMB045075col_TOT_VB_ELECT_CHG</f>
        <v>0</v>
      </c>
      <c r="L52" s="219">
        <f>SUM(J52:K52)</f>
        <v>0</v>
      </c>
    </row>
    <row r="53" spans="1:12">
      <c r="A53" s="406" t="s">
        <v>30</v>
      </c>
      <c r="B53" s="407"/>
      <c r="C53" s="217"/>
      <c r="D53" s="220">
        <f>SUM(D50:D52)</f>
        <v>2.7</v>
      </c>
      <c r="E53" s="221">
        <f>SUM(E50:E52)</f>
        <v>119602.08000000002</v>
      </c>
      <c r="F53" s="221">
        <f>SUM(F50:F52)</f>
        <v>33750</v>
      </c>
      <c r="G53" s="221">
        <f>SUM(G50:G52)</f>
        <v>25863.351789600001</v>
      </c>
      <c r="H53" s="219">
        <f>SUM(E53:G53)</f>
        <v>179215.43178960003</v>
      </c>
      <c r="I53" s="268"/>
      <c r="J53" s="219">
        <f>SUM(J50:J52)</f>
        <v>3375</v>
      </c>
      <c r="K53" s="219">
        <f>SUM(K50:K52)</f>
        <v>-1088.378928000001</v>
      </c>
      <c r="L53" s="219">
        <f>SUM(L50:L52)</f>
        <v>2286.621071999999</v>
      </c>
    </row>
    <row r="54" spans="1:12">
      <c r="A54" s="366"/>
      <c r="B54" s="372"/>
      <c r="C54" s="217"/>
      <c r="D54" s="220"/>
      <c r="E54" s="219"/>
      <c r="F54" s="219"/>
      <c r="G54" s="219"/>
      <c r="H54" s="219"/>
      <c r="I54" s="268"/>
      <c r="J54" s="219"/>
      <c r="K54" s="222"/>
      <c r="L54" s="222"/>
    </row>
    <row r="55" spans="1:12">
      <c r="A55" s="157" t="str">
        <f>"FY "&amp;'EDMB|0450-75'!FiscalYear-1</f>
        <v>FY 2023</v>
      </c>
      <c r="B55" s="158" t="s">
        <v>31</v>
      </c>
      <c r="C55" s="355">
        <v>179500</v>
      </c>
      <c r="D55" s="55">
        <v>3</v>
      </c>
      <c r="E55" s="223">
        <f>IF('EDMB|0450-75'!OrigApprop=0,0,(E53/H53)*'EDMB|0450-75'!OrigApprop)</f>
        <v>119791.99082143905</v>
      </c>
      <c r="F55" s="223">
        <f>IF('EDMB|0450-75'!OrigApprop=0,0,(F53/H53)*'EDMB|0450-75'!OrigApprop)</f>
        <v>33803.590123378854</v>
      </c>
      <c r="G55" s="223">
        <f>IF(E55=0,0,(G53/H53)*'EDMB|0450-75'!OrigApprop)</f>
        <v>25904.419055182087</v>
      </c>
      <c r="H55" s="223">
        <f>SUM(E55:G55)</f>
        <v>179499.99999999997</v>
      </c>
      <c r="I55" s="268"/>
      <c r="J55" s="224"/>
      <c r="K55" s="224"/>
      <c r="L55" s="224"/>
    </row>
    <row r="56" spans="1:12">
      <c r="A56" s="424" t="s">
        <v>32</v>
      </c>
      <c r="B56" s="425"/>
      <c r="C56" s="160" t="s">
        <v>33</v>
      </c>
      <c r="D56" s="161">
        <f>D55-D53</f>
        <v>0.29999999999999982</v>
      </c>
      <c r="E56" s="162">
        <f>E55-E53</f>
        <v>189.91082143902895</v>
      </c>
      <c r="F56" s="162">
        <f>F55-F53</f>
        <v>53.590123378853605</v>
      </c>
      <c r="G56" s="162">
        <f>G55-G53</f>
        <v>41.067265582085383</v>
      </c>
      <c r="H56" s="162">
        <f>H55-H53</f>
        <v>284.56821039994247</v>
      </c>
      <c r="I56" s="269"/>
      <c r="J56" s="56" t="str">
        <f>IF('EDMB|0450-75'!OrigApprop=0,"No Original Appropriation amount in DU 3.00 for this fund","Calculated "&amp;IF('EDMB|0450-75'!AdjustedTotal&gt;0,"overfunding ","underfunding ")&amp;"is "&amp;TEXT('EDMB|0450-75'!AdjustedTotal/'EDMB|0450-75'!AppropTotal,"#.0%;(#.0% );0% ;")&amp;" of Original Appropriation")</f>
        <v>Calculated overfunding is .2% of Original Appropriation</v>
      </c>
      <c r="K56" s="163"/>
      <c r="L56" s="164"/>
    </row>
  </sheetData>
  <mergeCells count="35">
    <mergeCell ref="A56:B56"/>
    <mergeCell ref="A48:B48"/>
    <mergeCell ref="A49:B49"/>
    <mergeCell ref="A50:B50"/>
    <mergeCell ref="A51:B51"/>
    <mergeCell ref="A52:B52"/>
    <mergeCell ref="A53:B53"/>
    <mergeCell ref="A37:B37"/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4" priority="7">
      <formula>$J$16&lt;0</formula>
    </cfRule>
  </conditionalFormatting>
  <conditionalFormatting sqref="J21">
    <cfRule type="expression" dxfId="3" priority="6">
      <formula>$J$16&lt;0</formula>
    </cfRule>
  </conditionalFormatting>
  <conditionalFormatting sqref="J32">
    <cfRule type="expression" dxfId="2" priority="5">
      <formula>$J$16&lt;0</formula>
    </cfRule>
  </conditionalFormatting>
  <conditionalFormatting sqref="J43">
    <cfRule type="expression" dxfId="1" priority="4">
      <formula>$J$16&lt;0</formula>
    </cfRule>
  </conditionalFormatting>
  <conditionalFormatting sqref="J56">
    <cfRule type="expression" dxfId="0" priority="2">
      <formula>$J$16&lt;0</formula>
    </cfRule>
  </conditionalFormatting>
  <pageMargins left="0.7" right="0.7" top="0.75" bottom="0.75" header="0.3" footer="0.3"/>
  <pageSetup scale="39" orientation="landscape" r:id="rId1"/>
  <headerFooter>
    <oddHeader>&amp;L&amp;"Arial"&amp;14 Self-Governing Agencies&amp;R&amp;"Arial"&amp;10 Agency 522</oddHeader>
    <oddFooter>&amp;L&amp;"Arial"&amp;10 B6:Summary by Program, by Fund&amp;R&amp;"Arial"&amp;10 FY 2023 Request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817</vt:i4>
      </vt:variant>
    </vt:vector>
  </HeadingPairs>
  <TitlesOfParts>
    <vt:vector size="827" baseType="lpstr">
      <vt:lpstr>EDMA|0001-00</vt:lpstr>
      <vt:lpstr>EDMA|0348-00</vt:lpstr>
      <vt:lpstr>EDMA|0349-00</vt:lpstr>
      <vt:lpstr>EDMA|0481-09</vt:lpstr>
      <vt:lpstr>EDMB|0450-75</vt:lpstr>
      <vt:lpstr>Data</vt:lpstr>
      <vt:lpstr>Benefits</vt:lpstr>
      <vt:lpstr>B6</vt:lpstr>
      <vt:lpstr>Summary</vt:lpstr>
      <vt:lpstr>FundSummary</vt:lpstr>
      <vt:lpstr>'EDMA|0001-00'!AdjGroupHlth</vt:lpstr>
      <vt:lpstr>'EDMA|0348-00'!AdjGroupHlth</vt:lpstr>
      <vt:lpstr>'EDMA|0349-00'!AdjGroupHlth</vt:lpstr>
      <vt:lpstr>'EDMA|0481-09'!AdjGroupHlth</vt:lpstr>
      <vt:lpstr>'EDMB|0450-75'!AdjGroupHlth</vt:lpstr>
      <vt:lpstr>AdjGroupHlth</vt:lpstr>
      <vt:lpstr>'EDMA|0001-00'!AdjGroupSalary</vt:lpstr>
      <vt:lpstr>'EDMA|0348-00'!AdjGroupSalary</vt:lpstr>
      <vt:lpstr>'EDMA|0349-00'!AdjGroupSalary</vt:lpstr>
      <vt:lpstr>'EDMA|0481-09'!AdjGroupSalary</vt:lpstr>
      <vt:lpstr>'EDMB|0450-75'!AdjGroupSalary</vt:lpstr>
      <vt:lpstr>AdjGroupSalary</vt:lpstr>
      <vt:lpstr>'EDMA|0001-00'!AdjGroupVB</vt:lpstr>
      <vt:lpstr>'EDMA|0348-00'!AdjGroupVB</vt:lpstr>
      <vt:lpstr>'EDMA|0349-00'!AdjGroupVB</vt:lpstr>
      <vt:lpstr>'EDMA|0481-09'!AdjGroupVB</vt:lpstr>
      <vt:lpstr>'EDMB|0450-75'!AdjGroupVB</vt:lpstr>
      <vt:lpstr>AdjGroupVB</vt:lpstr>
      <vt:lpstr>'EDMA|0001-00'!AdjGroupVBBY</vt:lpstr>
      <vt:lpstr>'EDMA|0348-00'!AdjGroupVBBY</vt:lpstr>
      <vt:lpstr>'EDMA|0349-00'!AdjGroupVBBY</vt:lpstr>
      <vt:lpstr>'EDMA|0481-09'!AdjGroupVBBY</vt:lpstr>
      <vt:lpstr>'EDMB|0450-75'!AdjGroupVBBY</vt:lpstr>
      <vt:lpstr>AdjGroupVBBY</vt:lpstr>
      <vt:lpstr>'EDMA|0001-00'!AdjPermHlth</vt:lpstr>
      <vt:lpstr>'EDMA|0348-00'!AdjPermHlth</vt:lpstr>
      <vt:lpstr>'EDMA|0349-00'!AdjPermHlth</vt:lpstr>
      <vt:lpstr>'EDMA|0481-09'!AdjPermHlth</vt:lpstr>
      <vt:lpstr>'EDMB|0450-75'!AdjPermHlth</vt:lpstr>
      <vt:lpstr>AdjPermHlth</vt:lpstr>
      <vt:lpstr>'EDMA|0001-00'!AdjPermHlthBY</vt:lpstr>
      <vt:lpstr>'EDMA|0348-00'!AdjPermHlthBY</vt:lpstr>
      <vt:lpstr>'EDMA|0349-00'!AdjPermHlthBY</vt:lpstr>
      <vt:lpstr>'EDMA|0481-09'!AdjPermHlthBY</vt:lpstr>
      <vt:lpstr>'EDMB|0450-75'!AdjPermHlthBY</vt:lpstr>
      <vt:lpstr>AdjPermHlthBY</vt:lpstr>
      <vt:lpstr>'EDMA|0001-00'!AdjPermSalary</vt:lpstr>
      <vt:lpstr>'EDMA|0348-00'!AdjPermSalary</vt:lpstr>
      <vt:lpstr>'EDMA|0349-00'!AdjPermSalary</vt:lpstr>
      <vt:lpstr>'EDMA|0481-09'!AdjPermSalary</vt:lpstr>
      <vt:lpstr>'EDMB|0450-75'!AdjPermSalary</vt:lpstr>
      <vt:lpstr>AdjPermSalary</vt:lpstr>
      <vt:lpstr>'EDMA|0001-00'!AdjPermVB</vt:lpstr>
      <vt:lpstr>'EDMA|0348-00'!AdjPermVB</vt:lpstr>
      <vt:lpstr>'EDMA|0349-00'!AdjPermVB</vt:lpstr>
      <vt:lpstr>'EDMA|0481-09'!AdjPermVB</vt:lpstr>
      <vt:lpstr>'EDMB|0450-75'!AdjPermVB</vt:lpstr>
      <vt:lpstr>AdjPermVB</vt:lpstr>
      <vt:lpstr>'EDMA|0001-00'!AdjPermVBBY</vt:lpstr>
      <vt:lpstr>'EDMA|0348-00'!AdjPermVBBY</vt:lpstr>
      <vt:lpstr>'EDMA|0349-00'!AdjPermVBBY</vt:lpstr>
      <vt:lpstr>'EDMA|0481-09'!AdjPermVBBY</vt:lpstr>
      <vt:lpstr>'EDMB|0450-75'!AdjPermVBBY</vt:lpstr>
      <vt:lpstr>AdjPermVBBY</vt:lpstr>
      <vt:lpstr>'EDMA|0001-00'!AdjustedTotal</vt:lpstr>
      <vt:lpstr>'EDMA|0348-00'!AdjustedTotal</vt:lpstr>
      <vt:lpstr>'EDMA|0349-00'!AdjustedTotal</vt:lpstr>
      <vt:lpstr>'EDMA|0481-09'!AdjustedTotal</vt:lpstr>
      <vt:lpstr>'EDMB|0450-75'!AdjustedTotal</vt:lpstr>
      <vt:lpstr>AdjustedTotal</vt:lpstr>
      <vt:lpstr>'EDMA|0001-00'!AgencyNum</vt:lpstr>
      <vt:lpstr>'EDMA|0348-00'!AgencyNum</vt:lpstr>
      <vt:lpstr>'EDMA|0349-00'!AgencyNum</vt:lpstr>
      <vt:lpstr>'EDMA|0481-09'!AgencyNum</vt:lpstr>
      <vt:lpstr>'EDMB|0450-75'!AgencyNum</vt:lpstr>
      <vt:lpstr>AgencyNum</vt:lpstr>
      <vt:lpstr>'EDMA|0001-00'!AppropFTP</vt:lpstr>
      <vt:lpstr>'EDMA|0348-00'!AppropFTP</vt:lpstr>
      <vt:lpstr>'EDMA|0349-00'!AppropFTP</vt:lpstr>
      <vt:lpstr>'EDMA|0481-09'!AppropFTP</vt:lpstr>
      <vt:lpstr>'EDMB|0450-75'!AppropFTP</vt:lpstr>
      <vt:lpstr>AppropFTP</vt:lpstr>
      <vt:lpstr>'EDMA|0001-00'!AppropTotal</vt:lpstr>
      <vt:lpstr>'EDMA|0348-00'!AppropTotal</vt:lpstr>
      <vt:lpstr>'EDMA|0349-00'!AppropTotal</vt:lpstr>
      <vt:lpstr>'EDMA|0481-09'!AppropTotal</vt:lpstr>
      <vt:lpstr>'EDMB|0450-75'!AppropTotal</vt:lpstr>
      <vt:lpstr>AppropTotal</vt:lpstr>
      <vt:lpstr>'EDMA|0001-00'!AtZHealth</vt:lpstr>
      <vt:lpstr>'EDMA|0348-00'!AtZHealth</vt:lpstr>
      <vt:lpstr>'EDMA|0349-00'!AtZHealth</vt:lpstr>
      <vt:lpstr>'EDMA|0481-09'!AtZHealth</vt:lpstr>
      <vt:lpstr>'EDMB|0450-75'!AtZHealth</vt:lpstr>
      <vt:lpstr>AtZHealth</vt:lpstr>
      <vt:lpstr>'EDMA|0001-00'!AtZSalary</vt:lpstr>
      <vt:lpstr>'EDMA|0348-00'!AtZSalary</vt:lpstr>
      <vt:lpstr>'EDMA|0349-00'!AtZSalary</vt:lpstr>
      <vt:lpstr>'EDMA|0481-09'!AtZSalary</vt:lpstr>
      <vt:lpstr>'EDMB|0450-75'!AtZSalary</vt:lpstr>
      <vt:lpstr>AtZSalary</vt:lpstr>
      <vt:lpstr>'EDMA|0001-00'!AtZTotal</vt:lpstr>
      <vt:lpstr>'EDMA|0348-00'!AtZTotal</vt:lpstr>
      <vt:lpstr>'EDMA|0349-00'!AtZTotal</vt:lpstr>
      <vt:lpstr>'EDMA|0481-09'!AtZTotal</vt:lpstr>
      <vt:lpstr>'EDMB|0450-75'!AtZTotal</vt:lpstr>
      <vt:lpstr>AtZTotal</vt:lpstr>
      <vt:lpstr>'EDMA|0001-00'!AtZVarBen</vt:lpstr>
      <vt:lpstr>'EDMA|0348-00'!AtZVarBen</vt:lpstr>
      <vt:lpstr>'EDMA|0349-00'!AtZVarBen</vt:lpstr>
      <vt:lpstr>'EDMA|0481-09'!AtZVarBen</vt:lpstr>
      <vt:lpstr>'EDMB|0450-75'!AtZVarBen</vt:lpstr>
      <vt:lpstr>AtZVarBen</vt:lpstr>
      <vt:lpstr>'EDMA|0001-00'!BudgetUnit</vt:lpstr>
      <vt:lpstr>'EDMA|0348-00'!BudgetUnit</vt:lpstr>
      <vt:lpstr>'EDMA|0349-00'!BudgetUnit</vt:lpstr>
      <vt:lpstr>'EDMA|0481-09'!BudgetUnit</vt:lpstr>
      <vt:lpstr>'EDMB|0450-75'!BudgetUnit</vt:lpstr>
      <vt:lpstr>BudgetUnit</vt:lpstr>
      <vt:lpstr>BudgetYear</vt:lpstr>
      <vt:lpstr>CECGroup</vt:lpstr>
      <vt:lpstr>'EDMA|0001-00'!CECOrigElectSalary</vt:lpstr>
      <vt:lpstr>'EDMA|0348-00'!CECOrigElectSalary</vt:lpstr>
      <vt:lpstr>'EDMA|0349-00'!CECOrigElectSalary</vt:lpstr>
      <vt:lpstr>'EDMA|0481-09'!CECOrigElectSalary</vt:lpstr>
      <vt:lpstr>'EDMB|0450-75'!CECOrigElectSalary</vt:lpstr>
      <vt:lpstr>CECOrigElectSalary</vt:lpstr>
      <vt:lpstr>'EDMA|0001-00'!CECOrigElectVB</vt:lpstr>
      <vt:lpstr>'EDMA|0348-00'!CECOrigElectVB</vt:lpstr>
      <vt:lpstr>'EDMA|0349-00'!CECOrigElectVB</vt:lpstr>
      <vt:lpstr>'EDMA|0481-09'!CECOrigElectVB</vt:lpstr>
      <vt:lpstr>'EDMB|0450-75'!CECOrigElectVB</vt:lpstr>
      <vt:lpstr>CECOrigElectVB</vt:lpstr>
      <vt:lpstr>'EDMA|0001-00'!CECOrigGroupSalary</vt:lpstr>
      <vt:lpstr>'EDMA|0348-00'!CECOrigGroupSalary</vt:lpstr>
      <vt:lpstr>'EDMA|0349-00'!CECOrigGroupSalary</vt:lpstr>
      <vt:lpstr>'EDMA|0481-09'!CECOrigGroupSalary</vt:lpstr>
      <vt:lpstr>'EDMB|0450-75'!CECOrigGroupSalary</vt:lpstr>
      <vt:lpstr>CECOrigGroupSalary</vt:lpstr>
      <vt:lpstr>'EDMA|0001-00'!CECOrigGroupVB</vt:lpstr>
      <vt:lpstr>'EDMA|0348-00'!CECOrigGroupVB</vt:lpstr>
      <vt:lpstr>'EDMA|0349-00'!CECOrigGroupVB</vt:lpstr>
      <vt:lpstr>'EDMA|0481-09'!CECOrigGroupVB</vt:lpstr>
      <vt:lpstr>'EDMB|0450-75'!CECOrigGroupVB</vt:lpstr>
      <vt:lpstr>CECOrigGroupVB</vt:lpstr>
      <vt:lpstr>'EDMA|0001-00'!CECOrigPermSalary</vt:lpstr>
      <vt:lpstr>'EDMA|0348-00'!CECOrigPermSalary</vt:lpstr>
      <vt:lpstr>'EDMA|0349-00'!CECOrigPermSalary</vt:lpstr>
      <vt:lpstr>'EDMA|0481-09'!CECOrigPermSalary</vt:lpstr>
      <vt:lpstr>'EDMB|0450-75'!CECOrigPermSalary</vt:lpstr>
      <vt:lpstr>CECOrigPermSalary</vt:lpstr>
      <vt:lpstr>'EDMA|0001-00'!CECOrigPermVB</vt:lpstr>
      <vt:lpstr>'EDMA|0348-00'!CECOrigPermVB</vt:lpstr>
      <vt:lpstr>'EDMA|0349-00'!CECOrigPermVB</vt:lpstr>
      <vt:lpstr>'EDMA|0481-09'!CECOrigPermVB</vt:lpstr>
      <vt:lpstr>'EDMB|0450-75'!CECOrigPermVB</vt:lpstr>
      <vt:lpstr>CECOrigPermVB</vt:lpstr>
      <vt:lpstr>CECPerm</vt:lpstr>
      <vt:lpstr>'EDMA|0001-00'!CECpermCalc</vt:lpstr>
      <vt:lpstr>'EDMA|0348-00'!CECpermCalc</vt:lpstr>
      <vt:lpstr>'EDMA|0349-00'!CECpermCalc</vt:lpstr>
      <vt:lpstr>'EDMA|0481-09'!CECpermCalc</vt:lpstr>
      <vt:lpstr>'EDMB|0450-75'!CECpermCalc</vt:lpstr>
      <vt:lpstr>CECpermCalc</vt:lpstr>
      <vt:lpstr>'EDMA|0001-00'!Department</vt:lpstr>
      <vt:lpstr>'EDMA|0348-00'!Department</vt:lpstr>
      <vt:lpstr>'EDMA|0349-00'!Department</vt:lpstr>
      <vt:lpstr>'EDMA|0481-09'!Department</vt:lpstr>
      <vt:lpstr>'EDMB|0450-75'!Department</vt:lpstr>
      <vt:lpstr>Department</vt:lpstr>
      <vt:lpstr>DHR</vt:lpstr>
      <vt:lpstr>DHRBY</vt:lpstr>
      <vt:lpstr>DHRCHG</vt:lpstr>
      <vt:lpstr>'EDMA|0001-00'!Division</vt:lpstr>
      <vt:lpstr>'EDMA|0348-00'!Division</vt:lpstr>
      <vt:lpstr>'EDMA|0349-00'!Division</vt:lpstr>
      <vt:lpstr>'EDMA|0481-09'!Division</vt:lpstr>
      <vt:lpstr>'EDMB|0450-75'!Division</vt:lpstr>
      <vt:lpstr>Division</vt:lpstr>
      <vt:lpstr>'EDMA|0001-00'!DUCECElect</vt:lpstr>
      <vt:lpstr>'EDMA|0348-00'!DUCECElect</vt:lpstr>
      <vt:lpstr>'EDMA|0349-00'!DUCECElect</vt:lpstr>
      <vt:lpstr>'EDMA|0481-09'!DUCECElect</vt:lpstr>
      <vt:lpstr>'EDMB|0450-75'!DUCECElect</vt:lpstr>
      <vt:lpstr>DUCECElect</vt:lpstr>
      <vt:lpstr>'EDMA|0001-00'!DUCECGroup</vt:lpstr>
      <vt:lpstr>'EDMA|0348-00'!DUCECGroup</vt:lpstr>
      <vt:lpstr>'EDMA|0349-00'!DUCECGroup</vt:lpstr>
      <vt:lpstr>'EDMA|0481-09'!DUCECGroup</vt:lpstr>
      <vt:lpstr>'EDMB|0450-75'!DUCECGroup</vt:lpstr>
      <vt:lpstr>DUCECGroup</vt:lpstr>
      <vt:lpstr>'EDMA|0001-00'!DUCECPerm</vt:lpstr>
      <vt:lpstr>'EDMA|0348-00'!DUCECPerm</vt:lpstr>
      <vt:lpstr>'EDMA|0349-00'!DUCECPerm</vt:lpstr>
      <vt:lpstr>'EDMA|0481-09'!DUCECPerm</vt:lpstr>
      <vt:lpstr>'EDMB|0450-75'!DUCECPerm</vt:lpstr>
      <vt:lpstr>DUCECPerm</vt:lpstr>
      <vt:lpstr>'EDMA|0001-00'!DUEleven</vt:lpstr>
      <vt:lpstr>'EDMA|0348-00'!DUEleven</vt:lpstr>
      <vt:lpstr>'EDMA|0349-00'!DUEleven</vt:lpstr>
      <vt:lpstr>'EDMA|0481-09'!DUEleven</vt:lpstr>
      <vt:lpstr>'EDMB|0450-75'!DUEleven</vt:lpstr>
      <vt:lpstr>DUEleven</vt:lpstr>
      <vt:lpstr>'EDMA|0001-00'!DUHealthBen</vt:lpstr>
      <vt:lpstr>'EDMA|0348-00'!DUHealthBen</vt:lpstr>
      <vt:lpstr>'EDMA|0349-00'!DUHealthBen</vt:lpstr>
      <vt:lpstr>'EDMA|0481-09'!DUHealthBen</vt:lpstr>
      <vt:lpstr>'EDMB|0450-75'!DUHealthBen</vt:lpstr>
      <vt:lpstr>DUHealthBen</vt:lpstr>
      <vt:lpstr>'EDMA|0001-00'!DUNine</vt:lpstr>
      <vt:lpstr>'EDMA|0348-00'!DUNine</vt:lpstr>
      <vt:lpstr>'EDMA|0349-00'!DUNine</vt:lpstr>
      <vt:lpstr>'EDMA|0481-09'!DUNine</vt:lpstr>
      <vt:lpstr>'EDMB|0450-75'!DUNine</vt:lpstr>
      <vt:lpstr>DUNine</vt:lpstr>
      <vt:lpstr>'EDMA|0001-00'!DUThirteen</vt:lpstr>
      <vt:lpstr>'EDMA|0348-00'!DUThirteen</vt:lpstr>
      <vt:lpstr>'EDMA|0349-00'!DUThirteen</vt:lpstr>
      <vt:lpstr>'EDMA|0481-09'!DUThirteen</vt:lpstr>
      <vt:lpstr>'EDMB|0450-75'!DUThirteen</vt:lpstr>
      <vt:lpstr>DUThirteen</vt:lpstr>
      <vt:lpstr>'EDMA|0001-00'!DUVariableBen</vt:lpstr>
      <vt:lpstr>'EDMA|0348-00'!DUVariableBen</vt:lpstr>
      <vt:lpstr>'EDMA|0349-00'!DUVariableBen</vt:lpstr>
      <vt:lpstr>'EDMA|0481-09'!DUVariableBen</vt:lpstr>
      <vt:lpstr>'EDMB|0450-75'!DUVariableBen</vt:lpstr>
      <vt:lpstr>DUVariableBen</vt:lpstr>
      <vt:lpstr>EDMA000100col_1_27TH_PP</vt:lpstr>
      <vt:lpstr>EDMA000100col_DHR</vt:lpstr>
      <vt:lpstr>EDMA000100col_DHR_BY</vt:lpstr>
      <vt:lpstr>EDMA000100col_DHR_CHG</vt:lpstr>
      <vt:lpstr>EDMA000100col_FTI_SALARY_ELECT</vt:lpstr>
      <vt:lpstr>EDMA000100col_FTI_SALARY_PERM</vt:lpstr>
      <vt:lpstr>EDMA000100col_FTI_SALARY_SSDI</vt:lpstr>
      <vt:lpstr>EDMA000100col_Group_Ben</vt:lpstr>
      <vt:lpstr>EDMA000100col_Group_Salary</vt:lpstr>
      <vt:lpstr>EDMA000100col_HEALTH_ELECT</vt:lpstr>
      <vt:lpstr>EDMA000100col_HEALTH_ELECT_BY</vt:lpstr>
      <vt:lpstr>EDMA000100col_HEALTH_ELECT_CHG</vt:lpstr>
      <vt:lpstr>EDMA000100col_HEALTH_PERM</vt:lpstr>
      <vt:lpstr>EDMA000100col_HEALTH_PERM_BY</vt:lpstr>
      <vt:lpstr>EDMA000100col_HEALTH_PERM_CHG</vt:lpstr>
      <vt:lpstr>EDMA000100col_INC_FTI</vt:lpstr>
      <vt:lpstr>EDMA000100col_LIFE_INS</vt:lpstr>
      <vt:lpstr>EDMA000100col_LIFE_INS_BY</vt:lpstr>
      <vt:lpstr>EDMA000100col_LIFE_INS_CHG</vt:lpstr>
      <vt:lpstr>EDMA000100col_RETIREMENT</vt:lpstr>
      <vt:lpstr>EDMA000100col_RETIREMENT_BY</vt:lpstr>
      <vt:lpstr>EDMA000100col_RETIREMENT_CHG</vt:lpstr>
      <vt:lpstr>EDMA000100col_ROWS_PER_PCN</vt:lpstr>
      <vt:lpstr>EDMA000100col_SICK</vt:lpstr>
      <vt:lpstr>EDMA000100col_SICK_BY</vt:lpstr>
      <vt:lpstr>EDMA000100col_SICK_CHG</vt:lpstr>
      <vt:lpstr>EDMA000100col_SSDI</vt:lpstr>
      <vt:lpstr>EDMA000100col_SSDI_BY</vt:lpstr>
      <vt:lpstr>EDMA000100col_SSDI_CHG</vt:lpstr>
      <vt:lpstr>EDMA000100col_SSHI</vt:lpstr>
      <vt:lpstr>EDMA000100col_SSHI_BY</vt:lpstr>
      <vt:lpstr>EDMA000100col_SSHI_CHGv</vt:lpstr>
      <vt:lpstr>EDMA000100col_TOT_VB_ELECT</vt:lpstr>
      <vt:lpstr>EDMA000100col_TOT_VB_ELECT_BY</vt:lpstr>
      <vt:lpstr>EDMA000100col_TOT_VB_ELECT_CHG</vt:lpstr>
      <vt:lpstr>EDMA000100col_TOT_VB_PERM</vt:lpstr>
      <vt:lpstr>EDMA000100col_TOT_VB_PERM_BY</vt:lpstr>
      <vt:lpstr>EDMA000100col_TOT_VB_PERM_CHG</vt:lpstr>
      <vt:lpstr>EDMA000100col_TOTAL_ELECT_PCN_FTI</vt:lpstr>
      <vt:lpstr>EDMA000100col_TOTAL_ELECT_PCN_FTI_ALT</vt:lpstr>
      <vt:lpstr>EDMA000100col_TOTAL_PERM_PCN_FTI</vt:lpstr>
      <vt:lpstr>EDMA000100col_UNEMP_INS</vt:lpstr>
      <vt:lpstr>EDMA000100col_UNEMP_INS_BY</vt:lpstr>
      <vt:lpstr>EDMA000100col_UNEMP_INS_CHG</vt:lpstr>
      <vt:lpstr>EDMA000100col_WORKERS_COMP</vt:lpstr>
      <vt:lpstr>EDMA000100col_WORKERS_COMP_BY</vt:lpstr>
      <vt:lpstr>EDMA000100col_WORKERS_COMP_CHG</vt:lpstr>
      <vt:lpstr>EDMA034800col_1_27TH_PP</vt:lpstr>
      <vt:lpstr>EDMA034800col_DHR</vt:lpstr>
      <vt:lpstr>EDMA034800col_DHR_BY</vt:lpstr>
      <vt:lpstr>EDMA034800col_DHR_CHG</vt:lpstr>
      <vt:lpstr>EDMA034800col_FTI_SALARY_ELECT</vt:lpstr>
      <vt:lpstr>EDMA034800col_FTI_SALARY_PERM</vt:lpstr>
      <vt:lpstr>EDMA034800col_FTI_SALARY_SSDI</vt:lpstr>
      <vt:lpstr>EDMA034800col_Group_Ben</vt:lpstr>
      <vt:lpstr>EDMA034800col_Group_Salary</vt:lpstr>
      <vt:lpstr>EDMA034800col_HEALTH_ELECT</vt:lpstr>
      <vt:lpstr>EDMA034800col_HEALTH_ELECT_BY</vt:lpstr>
      <vt:lpstr>EDMA034800col_HEALTH_ELECT_CHG</vt:lpstr>
      <vt:lpstr>EDMA034800col_HEALTH_PERM</vt:lpstr>
      <vt:lpstr>EDMA034800col_HEALTH_PERM_BY</vt:lpstr>
      <vt:lpstr>EDMA034800col_HEALTH_PERM_CHG</vt:lpstr>
      <vt:lpstr>EDMA034800col_INC_FTI</vt:lpstr>
      <vt:lpstr>EDMA034800col_LIFE_INS</vt:lpstr>
      <vt:lpstr>EDMA034800col_LIFE_INS_BY</vt:lpstr>
      <vt:lpstr>EDMA034800col_LIFE_INS_CHG</vt:lpstr>
      <vt:lpstr>EDMA034800col_RETIREMENT</vt:lpstr>
      <vt:lpstr>EDMA034800col_RETIREMENT_BY</vt:lpstr>
      <vt:lpstr>EDMA034800col_RETIREMENT_CHG</vt:lpstr>
      <vt:lpstr>EDMA034800col_ROWS_PER_PCN</vt:lpstr>
      <vt:lpstr>EDMA034800col_SICK</vt:lpstr>
      <vt:lpstr>EDMA034800col_SICK_BY</vt:lpstr>
      <vt:lpstr>EDMA034800col_SICK_CHG</vt:lpstr>
      <vt:lpstr>EDMA034800col_SSDI</vt:lpstr>
      <vt:lpstr>EDMA034800col_SSDI_BY</vt:lpstr>
      <vt:lpstr>EDMA034800col_SSDI_CHG</vt:lpstr>
      <vt:lpstr>EDMA034800col_SSHI</vt:lpstr>
      <vt:lpstr>EDMA034800col_SSHI_BY</vt:lpstr>
      <vt:lpstr>EDMA034800col_SSHI_CHGv</vt:lpstr>
      <vt:lpstr>EDMA034800col_TOT_VB_ELECT</vt:lpstr>
      <vt:lpstr>EDMA034800col_TOT_VB_ELECT_BY</vt:lpstr>
      <vt:lpstr>EDMA034800col_TOT_VB_ELECT_CHG</vt:lpstr>
      <vt:lpstr>EDMA034800col_TOT_VB_PERM</vt:lpstr>
      <vt:lpstr>EDMA034800col_TOT_VB_PERM_BY</vt:lpstr>
      <vt:lpstr>EDMA034800col_TOT_VB_PERM_CHG</vt:lpstr>
      <vt:lpstr>EDMA034800col_TOTAL_ELECT_PCN_FTI</vt:lpstr>
      <vt:lpstr>EDMA034800col_TOTAL_ELECT_PCN_FTI_ALT</vt:lpstr>
      <vt:lpstr>EDMA034800col_TOTAL_PERM_PCN_FTI</vt:lpstr>
      <vt:lpstr>EDMA034800col_UNEMP_INS</vt:lpstr>
      <vt:lpstr>EDMA034800col_UNEMP_INS_BY</vt:lpstr>
      <vt:lpstr>EDMA034800col_UNEMP_INS_CHG</vt:lpstr>
      <vt:lpstr>EDMA034800col_WORKERS_COMP</vt:lpstr>
      <vt:lpstr>EDMA034800col_WORKERS_COMP_BY</vt:lpstr>
      <vt:lpstr>EDMA034800col_WORKERS_COMP_CHG</vt:lpstr>
      <vt:lpstr>EDMA034900col_1_27TH_PP</vt:lpstr>
      <vt:lpstr>EDMA034900col_DHR</vt:lpstr>
      <vt:lpstr>EDMA034900col_DHR_BY</vt:lpstr>
      <vt:lpstr>EDMA034900col_DHR_CHG</vt:lpstr>
      <vt:lpstr>EDMA034900col_FTI_SALARY_ELECT</vt:lpstr>
      <vt:lpstr>EDMA034900col_FTI_SALARY_PERM</vt:lpstr>
      <vt:lpstr>EDMA034900col_FTI_SALARY_SSDI</vt:lpstr>
      <vt:lpstr>EDMA034900col_Group_Ben</vt:lpstr>
      <vt:lpstr>EDMA034900col_Group_Salary</vt:lpstr>
      <vt:lpstr>EDMA034900col_HEALTH_ELECT</vt:lpstr>
      <vt:lpstr>EDMA034900col_HEALTH_ELECT_BY</vt:lpstr>
      <vt:lpstr>EDMA034900col_HEALTH_ELECT_CHG</vt:lpstr>
      <vt:lpstr>EDMA034900col_HEALTH_PERM</vt:lpstr>
      <vt:lpstr>EDMA034900col_HEALTH_PERM_BY</vt:lpstr>
      <vt:lpstr>EDMA034900col_HEALTH_PERM_CHG</vt:lpstr>
      <vt:lpstr>EDMA034900col_INC_FTI</vt:lpstr>
      <vt:lpstr>EDMA034900col_LIFE_INS</vt:lpstr>
      <vt:lpstr>EDMA034900col_LIFE_INS_BY</vt:lpstr>
      <vt:lpstr>EDMA034900col_LIFE_INS_CHG</vt:lpstr>
      <vt:lpstr>EDMA034900col_RETIREMENT</vt:lpstr>
      <vt:lpstr>EDMA034900col_RETIREMENT_BY</vt:lpstr>
      <vt:lpstr>EDMA034900col_RETIREMENT_CHG</vt:lpstr>
      <vt:lpstr>EDMA034900col_ROWS_PER_PCN</vt:lpstr>
      <vt:lpstr>EDMA034900col_SICK</vt:lpstr>
      <vt:lpstr>EDMA034900col_SICK_BY</vt:lpstr>
      <vt:lpstr>EDMA034900col_SICK_CHG</vt:lpstr>
      <vt:lpstr>EDMA034900col_SSDI</vt:lpstr>
      <vt:lpstr>EDMA034900col_SSDI_BY</vt:lpstr>
      <vt:lpstr>EDMA034900col_SSDI_CHG</vt:lpstr>
      <vt:lpstr>EDMA034900col_SSHI</vt:lpstr>
      <vt:lpstr>EDMA034900col_SSHI_BY</vt:lpstr>
      <vt:lpstr>EDMA034900col_SSHI_CHGv</vt:lpstr>
      <vt:lpstr>EDMA034900col_TOT_VB_ELECT</vt:lpstr>
      <vt:lpstr>EDMA034900col_TOT_VB_ELECT_BY</vt:lpstr>
      <vt:lpstr>EDMA034900col_TOT_VB_ELECT_CHG</vt:lpstr>
      <vt:lpstr>EDMA034900col_TOT_VB_PERM</vt:lpstr>
      <vt:lpstr>EDMA034900col_TOT_VB_PERM_BY</vt:lpstr>
      <vt:lpstr>EDMA034900col_TOT_VB_PERM_CHG</vt:lpstr>
      <vt:lpstr>EDMA034900col_TOTAL_ELECT_PCN_FTI</vt:lpstr>
      <vt:lpstr>EDMA034900col_TOTAL_ELECT_PCN_FTI_ALT</vt:lpstr>
      <vt:lpstr>EDMA034900col_TOTAL_PERM_PCN_FTI</vt:lpstr>
      <vt:lpstr>EDMA034900col_UNEMP_INS</vt:lpstr>
      <vt:lpstr>EDMA034900col_UNEMP_INS_BY</vt:lpstr>
      <vt:lpstr>EDMA034900col_UNEMP_INS_CHG</vt:lpstr>
      <vt:lpstr>EDMA034900col_WORKERS_COMP</vt:lpstr>
      <vt:lpstr>EDMA034900col_WORKERS_COMP_BY</vt:lpstr>
      <vt:lpstr>EDMA034900col_WORKERS_COMP_CHG</vt:lpstr>
      <vt:lpstr>EDMA048109col_1_27TH_PP</vt:lpstr>
      <vt:lpstr>EDMA048109col_DHR</vt:lpstr>
      <vt:lpstr>EDMA048109col_DHR_BY</vt:lpstr>
      <vt:lpstr>EDMA048109col_DHR_CHG</vt:lpstr>
      <vt:lpstr>EDMA048109col_FTI_SALARY_ELECT</vt:lpstr>
      <vt:lpstr>EDMA048109col_FTI_SALARY_PERM</vt:lpstr>
      <vt:lpstr>EDMA048109col_FTI_SALARY_SSDI</vt:lpstr>
      <vt:lpstr>EDMA048109col_Group_Ben</vt:lpstr>
      <vt:lpstr>EDMA048109col_Group_Salary</vt:lpstr>
      <vt:lpstr>EDMA048109col_HEALTH_ELECT</vt:lpstr>
      <vt:lpstr>EDMA048109col_HEALTH_ELECT_BY</vt:lpstr>
      <vt:lpstr>EDMA048109col_HEALTH_ELECT_CHG</vt:lpstr>
      <vt:lpstr>EDMA048109col_HEALTH_PERM</vt:lpstr>
      <vt:lpstr>EDMA048109col_HEALTH_PERM_BY</vt:lpstr>
      <vt:lpstr>EDMA048109col_HEALTH_PERM_CHG</vt:lpstr>
      <vt:lpstr>EDMA048109col_INC_FTI</vt:lpstr>
      <vt:lpstr>EDMA048109col_LIFE_INS</vt:lpstr>
      <vt:lpstr>EDMA048109col_LIFE_INS_BY</vt:lpstr>
      <vt:lpstr>EDMA048109col_LIFE_INS_CHG</vt:lpstr>
      <vt:lpstr>EDMA048109col_RETIREMENT</vt:lpstr>
      <vt:lpstr>EDMA048109col_RETIREMENT_BY</vt:lpstr>
      <vt:lpstr>EDMA048109col_RETIREMENT_CHG</vt:lpstr>
      <vt:lpstr>EDMA048109col_ROWS_PER_PCN</vt:lpstr>
      <vt:lpstr>EDMA048109col_SICK</vt:lpstr>
      <vt:lpstr>EDMA048109col_SICK_BY</vt:lpstr>
      <vt:lpstr>EDMA048109col_SICK_CHG</vt:lpstr>
      <vt:lpstr>EDMA048109col_SSDI</vt:lpstr>
      <vt:lpstr>EDMA048109col_SSDI_BY</vt:lpstr>
      <vt:lpstr>EDMA048109col_SSDI_CHG</vt:lpstr>
      <vt:lpstr>EDMA048109col_SSHI</vt:lpstr>
      <vt:lpstr>EDMA048109col_SSHI_BY</vt:lpstr>
      <vt:lpstr>EDMA048109col_SSHI_CHGv</vt:lpstr>
      <vt:lpstr>EDMA048109col_TOT_VB_ELECT</vt:lpstr>
      <vt:lpstr>EDMA048109col_TOT_VB_ELECT_BY</vt:lpstr>
      <vt:lpstr>EDMA048109col_TOT_VB_ELECT_CHG</vt:lpstr>
      <vt:lpstr>EDMA048109col_TOT_VB_PERM</vt:lpstr>
      <vt:lpstr>EDMA048109col_TOT_VB_PERM_BY</vt:lpstr>
      <vt:lpstr>EDMA048109col_TOT_VB_PERM_CHG</vt:lpstr>
      <vt:lpstr>EDMA048109col_TOTAL_ELECT_PCN_FTI</vt:lpstr>
      <vt:lpstr>EDMA048109col_TOTAL_ELECT_PCN_FTI_ALT</vt:lpstr>
      <vt:lpstr>EDMA048109col_TOTAL_PERM_PCN_FTI</vt:lpstr>
      <vt:lpstr>EDMA048109col_UNEMP_INS</vt:lpstr>
      <vt:lpstr>EDMA048109col_UNEMP_INS_BY</vt:lpstr>
      <vt:lpstr>EDMA048109col_UNEMP_INS_CHG</vt:lpstr>
      <vt:lpstr>EDMA048109col_WORKERS_COMP</vt:lpstr>
      <vt:lpstr>EDMA048109col_WORKERS_COMP_BY</vt:lpstr>
      <vt:lpstr>EDMA048109col_WORKERS_COMP_CHG</vt:lpstr>
      <vt:lpstr>EDMB045075col_1_27TH_PP</vt:lpstr>
      <vt:lpstr>EDMB045075col_DHR</vt:lpstr>
      <vt:lpstr>EDMB045075col_DHR_BY</vt:lpstr>
      <vt:lpstr>EDMB045075col_DHR_CHG</vt:lpstr>
      <vt:lpstr>EDMB045075col_FTI_SALARY_ELECT</vt:lpstr>
      <vt:lpstr>EDMB045075col_FTI_SALARY_PERM</vt:lpstr>
      <vt:lpstr>EDMB045075col_FTI_SALARY_SSDI</vt:lpstr>
      <vt:lpstr>EDMB045075col_Group_Ben</vt:lpstr>
      <vt:lpstr>EDMB045075col_Group_Salary</vt:lpstr>
      <vt:lpstr>EDMB045075col_HEALTH_ELECT</vt:lpstr>
      <vt:lpstr>EDMB045075col_HEALTH_ELECT_BY</vt:lpstr>
      <vt:lpstr>EDMB045075col_HEALTH_ELECT_CHG</vt:lpstr>
      <vt:lpstr>EDMB045075col_HEALTH_PERM</vt:lpstr>
      <vt:lpstr>EDMB045075col_HEALTH_PERM_BY</vt:lpstr>
      <vt:lpstr>EDMB045075col_HEALTH_PERM_CHG</vt:lpstr>
      <vt:lpstr>EDMB045075col_INC_FTI</vt:lpstr>
      <vt:lpstr>EDMB045075col_LIFE_INS</vt:lpstr>
      <vt:lpstr>EDMB045075col_LIFE_INS_BY</vt:lpstr>
      <vt:lpstr>EDMB045075col_LIFE_INS_CHG</vt:lpstr>
      <vt:lpstr>EDMB045075col_RETIREMENT</vt:lpstr>
      <vt:lpstr>EDMB045075col_RETIREMENT_BY</vt:lpstr>
      <vt:lpstr>EDMB045075col_RETIREMENT_CHG</vt:lpstr>
      <vt:lpstr>EDMB045075col_ROWS_PER_PCN</vt:lpstr>
      <vt:lpstr>EDMB045075col_SICK</vt:lpstr>
      <vt:lpstr>EDMB045075col_SICK_BY</vt:lpstr>
      <vt:lpstr>EDMB045075col_SICK_CHG</vt:lpstr>
      <vt:lpstr>EDMB045075col_SSDI</vt:lpstr>
      <vt:lpstr>EDMB045075col_SSDI_BY</vt:lpstr>
      <vt:lpstr>EDMB045075col_SSDI_CHG</vt:lpstr>
      <vt:lpstr>EDMB045075col_SSHI</vt:lpstr>
      <vt:lpstr>EDMB045075col_SSHI_BY</vt:lpstr>
      <vt:lpstr>EDMB045075col_SSHI_CHGv</vt:lpstr>
      <vt:lpstr>EDMB045075col_TOT_VB_ELECT</vt:lpstr>
      <vt:lpstr>EDMB045075col_TOT_VB_ELECT_BY</vt:lpstr>
      <vt:lpstr>EDMB045075col_TOT_VB_ELECT_CHG</vt:lpstr>
      <vt:lpstr>EDMB045075col_TOT_VB_PERM</vt:lpstr>
      <vt:lpstr>EDMB045075col_TOT_VB_PERM_BY</vt:lpstr>
      <vt:lpstr>EDMB045075col_TOT_VB_PERM_CHG</vt:lpstr>
      <vt:lpstr>EDMB045075col_TOTAL_ELECT_PCN_FTI</vt:lpstr>
      <vt:lpstr>EDMB045075col_TOTAL_ELECT_PCN_FTI_ALT</vt:lpstr>
      <vt:lpstr>EDMB045075col_TOTAL_PERM_PCN_FTI</vt:lpstr>
      <vt:lpstr>EDMB045075col_UNEMP_INS</vt:lpstr>
      <vt:lpstr>EDMB045075col_UNEMP_INS_BY</vt:lpstr>
      <vt:lpstr>EDMB045075col_UNEMP_INS_CHG</vt:lpstr>
      <vt:lpstr>EDMB045075col_WORKERS_COMP</vt:lpstr>
      <vt:lpstr>EDMB045075col_WORKERS_COMP_BY</vt:lpstr>
      <vt:lpstr>EDMB045075col_WORKERS_COMP_CHG</vt:lpstr>
      <vt:lpstr>'EDMA|0001-00'!Elect_chg_health</vt:lpstr>
      <vt:lpstr>'EDMA|0348-00'!Elect_chg_health</vt:lpstr>
      <vt:lpstr>'EDMA|0349-00'!Elect_chg_health</vt:lpstr>
      <vt:lpstr>'EDMA|0481-09'!Elect_chg_health</vt:lpstr>
      <vt:lpstr>'EDMB|0450-75'!Elect_chg_health</vt:lpstr>
      <vt:lpstr>Elect_chg_health</vt:lpstr>
      <vt:lpstr>'EDMA|0001-00'!Elect_chg_Var</vt:lpstr>
      <vt:lpstr>'EDMA|0348-00'!Elect_chg_Var</vt:lpstr>
      <vt:lpstr>'EDMA|0349-00'!Elect_chg_Var</vt:lpstr>
      <vt:lpstr>'EDMA|0481-09'!Elect_chg_Var</vt:lpstr>
      <vt:lpstr>'EDMB|0450-75'!Elect_chg_Var</vt:lpstr>
      <vt:lpstr>Elect_chg_Var</vt:lpstr>
      <vt:lpstr>'EDMA|0001-00'!elect_FTP</vt:lpstr>
      <vt:lpstr>'EDMA|0348-00'!elect_FTP</vt:lpstr>
      <vt:lpstr>'EDMA|0349-00'!elect_FTP</vt:lpstr>
      <vt:lpstr>'EDMA|0481-09'!elect_FTP</vt:lpstr>
      <vt:lpstr>'EDMB|0450-75'!elect_FTP</vt:lpstr>
      <vt:lpstr>elect_FTP</vt:lpstr>
      <vt:lpstr>'EDMA|0001-00'!Elect_health</vt:lpstr>
      <vt:lpstr>'EDMA|0348-00'!Elect_health</vt:lpstr>
      <vt:lpstr>'EDMA|0349-00'!Elect_health</vt:lpstr>
      <vt:lpstr>'EDMA|0481-09'!Elect_health</vt:lpstr>
      <vt:lpstr>'EDMB|0450-75'!Elect_health</vt:lpstr>
      <vt:lpstr>Elect_health</vt:lpstr>
      <vt:lpstr>'EDMA|0001-00'!Elect_name</vt:lpstr>
      <vt:lpstr>'EDMA|0348-00'!Elect_name</vt:lpstr>
      <vt:lpstr>'EDMA|0349-00'!Elect_name</vt:lpstr>
      <vt:lpstr>'EDMA|0481-09'!Elect_name</vt:lpstr>
      <vt:lpstr>'EDMB|0450-75'!Elect_name</vt:lpstr>
      <vt:lpstr>Elect_name</vt:lpstr>
      <vt:lpstr>'EDMA|0001-00'!Elect_salary</vt:lpstr>
      <vt:lpstr>'EDMA|0348-00'!Elect_salary</vt:lpstr>
      <vt:lpstr>'EDMA|0349-00'!Elect_salary</vt:lpstr>
      <vt:lpstr>'EDMA|0481-09'!Elect_salary</vt:lpstr>
      <vt:lpstr>'EDMB|0450-75'!Elect_salary</vt:lpstr>
      <vt:lpstr>Elect_salary</vt:lpstr>
      <vt:lpstr>'EDMA|0001-00'!Elect_Var</vt:lpstr>
      <vt:lpstr>'EDMA|0348-00'!Elect_Var</vt:lpstr>
      <vt:lpstr>'EDMA|0349-00'!Elect_Var</vt:lpstr>
      <vt:lpstr>'EDMA|0481-09'!Elect_Var</vt:lpstr>
      <vt:lpstr>'EDMB|0450-75'!Elect_Var</vt:lpstr>
      <vt:lpstr>Elect_Var</vt:lpstr>
      <vt:lpstr>'EDMA|0001-00'!Elect_VarBen</vt:lpstr>
      <vt:lpstr>'EDMA|0348-00'!Elect_VarBen</vt:lpstr>
      <vt:lpstr>'EDMA|0349-00'!Elect_VarBen</vt:lpstr>
      <vt:lpstr>'EDMA|0481-09'!Elect_VarBen</vt:lpstr>
      <vt:lpstr>'EDMB|0450-75'!Elect_VarBen</vt:lpstr>
      <vt:lpstr>Elect_VarBen</vt:lpstr>
      <vt:lpstr>ElectVB</vt:lpstr>
      <vt:lpstr>ElectVBBY</vt:lpstr>
      <vt:lpstr>ElectVBCHG</vt:lpstr>
      <vt:lpstr>FillRate_Avg</vt:lpstr>
      <vt:lpstr>'EDMA|0001-00'!FiscalYear</vt:lpstr>
      <vt:lpstr>'EDMA|0348-00'!FiscalYear</vt:lpstr>
      <vt:lpstr>'EDMA|0349-00'!FiscalYear</vt:lpstr>
      <vt:lpstr>'EDMA|0481-09'!FiscalYear</vt:lpstr>
      <vt:lpstr>'EDMB|0450-75'!FiscalYear</vt:lpstr>
      <vt:lpstr>FiscalYear</vt:lpstr>
      <vt:lpstr>'EDMA|0001-00'!FundName</vt:lpstr>
      <vt:lpstr>'EDMA|0348-00'!FundName</vt:lpstr>
      <vt:lpstr>'EDMA|0349-00'!FundName</vt:lpstr>
      <vt:lpstr>'EDMA|0481-09'!FundName</vt:lpstr>
      <vt:lpstr>'EDMB|0450-75'!FundName</vt:lpstr>
      <vt:lpstr>FundName</vt:lpstr>
      <vt:lpstr>'EDMA|0001-00'!FundNum</vt:lpstr>
      <vt:lpstr>'EDMA|0348-00'!FundNum</vt:lpstr>
      <vt:lpstr>'EDMA|0349-00'!FundNum</vt:lpstr>
      <vt:lpstr>'EDMA|0481-09'!FundNum</vt:lpstr>
      <vt:lpstr>'EDMB|0450-75'!FundNum</vt:lpstr>
      <vt:lpstr>FundNum</vt:lpstr>
      <vt:lpstr>'EDMA|0001-00'!FundNumber</vt:lpstr>
      <vt:lpstr>'EDMA|0348-00'!FundNumber</vt:lpstr>
      <vt:lpstr>'EDMA|0349-00'!FundNumber</vt:lpstr>
      <vt:lpstr>'EDMA|0481-09'!FundNumber</vt:lpstr>
      <vt:lpstr>'EDMB|0450-75'!FundNumber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'EDMA|0001-00'!Group_name</vt:lpstr>
      <vt:lpstr>'EDMA|0348-00'!Group_name</vt:lpstr>
      <vt:lpstr>'EDMA|0349-00'!Group_name</vt:lpstr>
      <vt:lpstr>'EDMA|0481-09'!Group_name</vt:lpstr>
      <vt:lpstr>'EDMB|0450-75'!Group_name</vt:lpstr>
      <vt:lpstr>Group_name</vt:lpstr>
      <vt:lpstr>'EDMA|0001-00'!GroupFxdBen</vt:lpstr>
      <vt:lpstr>'EDMA|0348-00'!GroupFxdBen</vt:lpstr>
      <vt:lpstr>'EDMA|0349-00'!GroupFxdBen</vt:lpstr>
      <vt:lpstr>'EDMA|0481-09'!GroupFxdBen</vt:lpstr>
      <vt:lpstr>'EDMB|0450-75'!GroupFxdBen</vt:lpstr>
      <vt:lpstr>GroupFxdBen</vt:lpstr>
      <vt:lpstr>'EDMA|0001-00'!GroupSalary</vt:lpstr>
      <vt:lpstr>'EDMA|0348-00'!GroupSalary</vt:lpstr>
      <vt:lpstr>'EDMA|0349-00'!GroupSalary</vt:lpstr>
      <vt:lpstr>'EDMA|0481-09'!GroupSalary</vt:lpstr>
      <vt:lpstr>'EDMB|0450-75'!GroupSalary</vt:lpstr>
      <vt:lpstr>GroupSalary</vt:lpstr>
      <vt:lpstr>'EDMA|0001-00'!GroupVarBen</vt:lpstr>
      <vt:lpstr>'EDMA|0348-00'!GroupVarBen</vt:lpstr>
      <vt:lpstr>'EDMA|0349-00'!GroupVarBen</vt:lpstr>
      <vt:lpstr>'EDMA|0481-09'!GroupVarBen</vt:lpstr>
      <vt:lpstr>'EDMB|0450-75'!GroupVarBen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'EDMA|0001-00'!LUMAFund</vt:lpstr>
      <vt:lpstr>'EDMA|0348-00'!LUMAFund</vt:lpstr>
      <vt:lpstr>'EDMA|0349-00'!LUMAFund</vt:lpstr>
      <vt:lpstr>'EDMA|0481-09'!LUMAFund</vt:lpstr>
      <vt:lpstr>'EDMB|0450-75'!LUMAFund</vt:lpstr>
      <vt:lpstr>LUMAFund</vt:lpstr>
      <vt:lpstr>MAXSSDI</vt:lpstr>
      <vt:lpstr>MAXSSDIBY</vt:lpstr>
      <vt:lpstr>'EDMA|0001-00'!NEW_AdjGroup</vt:lpstr>
      <vt:lpstr>'EDMA|0348-00'!NEW_AdjGroup</vt:lpstr>
      <vt:lpstr>'EDMA|0349-00'!NEW_AdjGroup</vt:lpstr>
      <vt:lpstr>'EDMA|0481-09'!NEW_AdjGroup</vt:lpstr>
      <vt:lpstr>'EDMB|0450-75'!NEW_AdjGroup</vt:lpstr>
      <vt:lpstr>NEW_AdjGroup</vt:lpstr>
      <vt:lpstr>'EDMA|0001-00'!NEW_AdjGroupSalary</vt:lpstr>
      <vt:lpstr>'EDMA|0348-00'!NEW_AdjGroupSalary</vt:lpstr>
      <vt:lpstr>'EDMA|0349-00'!NEW_AdjGroupSalary</vt:lpstr>
      <vt:lpstr>'EDMA|0481-09'!NEW_AdjGroupSalary</vt:lpstr>
      <vt:lpstr>'EDMB|0450-75'!NEW_AdjGroupSalary</vt:lpstr>
      <vt:lpstr>NEW_AdjGroupSalary</vt:lpstr>
      <vt:lpstr>'EDMA|0001-00'!NEW_AdjGroupVB</vt:lpstr>
      <vt:lpstr>'EDMA|0348-00'!NEW_AdjGroupVB</vt:lpstr>
      <vt:lpstr>'EDMA|0349-00'!NEW_AdjGroupVB</vt:lpstr>
      <vt:lpstr>'EDMA|0481-09'!NEW_AdjGroupVB</vt:lpstr>
      <vt:lpstr>'EDMB|0450-75'!NEW_AdjGroupVB</vt:lpstr>
      <vt:lpstr>NEW_AdjGroupVB</vt:lpstr>
      <vt:lpstr>'EDMA|0001-00'!NEW_AdjONLYGroup</vt:lpstr>
      <vt:lpstr>'EDMA|0348-00'!NEW_AdjONLYGroup</vt:lpstr>
      <vt:lpstr>'EDMA|0349-00'!NEW_AdjONLYGroup</vt:lpstr>
      <vt:lpstr>'EDMA|0481-09'!NEW_AdjONLYGroup</vt:lpstr>
      <vt:lpstr>'EDMB|0450-75'!NEW_AdjONLYGroup</vt:lpstr>
      <vt:lpstr>NEW_AdjONLYGroup</vt:lpstr>
      <vt:lpstr>'EDMA|0001-00'!NEW_AdjONLYGroupSalary</vt:lpstr>
      <vt:lpstr>'EDMA|0348-00'!NEW_AdjONLYGroupSalary</vt:lpstr>
      <vt:lpstr>'EDMA|0349-00'!NEW_AdjONLYGroupSalary</vt:lpstr>
      <vt:lpstr>'EDMA|0481-09'!NEW_AdjONLYGroupSalary</vt:lpstr>
      <vt:lpstr>'EDMB|0450-75'!NEW_AdjONLYGroupSalary</vt:lpstr>
      <vt:lpstr>NEW_AdjONLYGroupSalary</vt:lpstr>
      <vt:lpstr>'EDMA|0001-00'!NEW_AdjONLYGroupVB</vt:lpstr>
      <vt:lpstr>'EDMA|0348-00'!NEW_AdjONLYGroupVB</vt:lpstr>
      <vt:lpstr>'EDMA|0349-00'!NEW_AdjONLYGroupVB</vt:lpstr>
      <vt:lpstr>'EDMA|0481-09'!NEW_AdjONLYGroupVB</vt:lpstr>
      <vt:lpstr>'EDMB|0450-75'!NEW_AdjONLYGroupVB</vt:lpstr>
      <vt:lpstr>NEW_AdjONLYGroupVB</vt:lpstr>
      <vt:lpstr>'EDMA|0001-00'!NEW_AdjONLYPerm</vt:lpstr>
      <vt:lpstr>'EDMA|0348-00'!NEW_AdjONLYPerm</vt:lpstr>
      <vt:lpstr>'EDMA|0349-00'!NEW_AdjONLYPerm</vt:lpstr>
      <vt:lpstr>'EDMA|0481-09'!NEW_AdjONLYPerm</vt:lpstr>
      <vt:lpstr>'EDMB|0450-75'!NEW_AdjONLYPerm</vt:lpstr>
      <vt:lpstr>NEW_AdjONLYPerm</vt:lpstr>
      <vt:lpstr>'EDMA|0001-00'!NEW_AdjONLYPermSalary</vt:lpstr>
      <vt:lpstr>'EDMA|0348-00'!NEW_AdjONLYPermSalary</vt:lpstr>
      <vt:lpstr>'EDMA|0349-00'!NEW_AdjONLYPermSalary</vt:lpstr>
      <vt:lpstr>'EDMA|0481-09'!NEW_AdjONLYPermSalary</vt:lpstr>
      <vt:lpstr>'EDMB|0450-75'!NEW_AdjONLYPermSalary</vt:lpstr>
      <vt:lpstr>NEW_AdjONLYPermSalary</vt:lpstr>
      <vt:lpstr>'EDMA|0001-00'!NEW_AdjONLYPermVB</vt:lpstr>
      <vt:lpstr>'EDMA|0348-00'!NEW_AdjONLYPermVB</vt:lpstr>
      <vt:lpstr>'EDMA|0349-00'!NEW_AdjONLYPermVB</vt:lpstr>
      <vt:lpstr>'EDMA|0481-09'!NEW_AdjONLYPermVB</vt:lpstr>
      <vt:lpstr>'EDMB|0450-75'!NEW_AdjONLYPermVB</vt:lpstr>
      <vt:lpstr>NEW_AdjONLYPermVB</vt:lpstr>
      <vt:lpstr>'EDMA|0001-00'!NEW_AdjPerm</vt:lpstr>
      <vt:lpstr>'EDMA|0348-00'!NEW_AdjPerm</vt:lpstr>
      <vt:lpstr>'EDMA|0349-00'!NEW_AdjPerm</vt:lpstr>
      <vt:lpstr>'EDMA|0481-09'!NEW_AdjPerm</vt:lpstr>
      <vt:lpstr>'EDMB|0450-75'!NEW_AdjPerm</vt:lpstr>
      <vt:lpstr>NEW_AdjPerm</vt:lpstr>
      <vt:lpstr>'EDMA|0001-00'!NEW_AdjPermSalary</vt:lpstr>
      <vt:lpstr>'EDMA|0348-00'!NEW_AdjPermSalary</vt:lpstr>
      <vt:lpstr>'EDMA|0349-00'!NEW_AdjPermSalary</vt:lpstr>
      <vt:lpstr>'EDMA|0481-09'!NEW_AdjPermSalary</vt:lpstr>
      <vt:lpstr>'EDMB|0450-75'!NEW_AdjPermSalary</vt:lpstr>
      <vt:lpstr>NEW_AdjPermSalary</vt:lpstr>
      <vt:lpstr>'EDMA|0001-00'!NEW_AdjPermVB</vt:lpstr>
      <vt:lpstr>'EDMA|0348-00'!NEW_AdjPermVB</vt:lpstr>
      <vt:lpstr>'EDMA|0349-00'!NEW_AdjPermVB</vt:lpstr>
      <vt:lpstr>'EDMA|0481-09'!NEW_AdjPermVB</vt:lpstr>
      <vt:lpstr>'EDMB|0450-75'!NEW_AdjPermVB</vt:lpstr>
      <vt:lpstr>NEW_AdjPermVB</vt:lpstr>
      <vt:lpstr>'EDMA|0001-00'!NEW_GroupFilled</vt:lpstr>
      <vt:lpstr>'EDMA|0348-00'!NEW_GroupFilled</vt:lpstr>
      <vt:lpstr>'EDMA|0349-00'!NEW_GroupFilled</vt:lpstr>
      <vt:lpstr>'EDMA|0481-09'!NEW_GroupFilled</vt:lpstr>
      <vt:lpstr>'EDMB|0450-75'!NEW_GroupFilled</vt:lpstr>
      <vt:lpstr>NEW_GroupFilled</vt:lpstr>
      <vt:lpstr>'EDMA|0001-00'!NEW_GroupSalaryFilled</vt:lpstr>
      <vt:lpstr>'EDMA|0348-00'!NEW_GroupSalaryFilled</vt:lpstr>
      <vt:lpstr>'EDMA|0349-00'!NEW_GroupSalaryFilled</vt:lpstr>
      <vt:lpstr>'EDMA|0481-09'!NEW_GroupSalaryFilled</vt:lpstr>
      <vt:lpstr>'EDMB|0450-75'!NEW_GroupSalaryFilled</vt:lpstr>
      <vt:lpstr>NEW_GroupSalaryFilled</vt:lpstr>
      <vt:lpstr>'EDMA|0001-00'!NEW_GroupVBFilled</vt:lpstr>
      <vt:lpstr>'EDMA|0348-00'!NEW_GroupVBFilled</vt:lpstr>
      <vt:lpstr>'EDMA|0349-00'!NEW_GroupVBFilled</vt:lpstr>
      <vt:lpstr>'EDMA|0481-09'!NEW_GroupVBFilled</vt:lpstr>
      <vt:lpstr>'EDMB|0450-75'!NEW_GroupVBFilled</vt:lpstr>
      <vt:lpstr>NEW_GroupVBFilled</vt:lpstr>
      <vt:lpstr>'EDMA|0001-00'!NEW_PermFilled</vt:lpstr>
      <vt:lpstr>'EDMA|0348-00'!NEW_PermFilled</vt:lpstr>
      <vt:lpstr>'EDMA|0349-00'!NEW_PermFilled</vt:lpstr>
      <vt:lpstr>'EDMA|0481-09'!NEW_PermFilled</vt:lpstr>
      <vt:lpstr>'EDMB|0450-75'!NEW_PermFilled</vt:lpstr>
      <vt:lpstr>NEW_PermFilled</vt:lpstr>
      <vt:lpstr>'EDMA|0001-00'!NEW_PermSalaryFilled</vt:lpstr>
      <vt:lpstr>'EDMA|0348-00'!NEW_PermSalaryFilled</vt:lpstr>
      <vt:lpstr>'EDMA|0349-00'!NEW_PermSalaryFilled</vt:lpstr>
      <vt:lpstr>'EDMA|0481-09'!NEW_PermSalaryFilled</vt:lpstr>
      <vt:lpstr>'EDMB|0450-75'!NEW_PermSalaryFilled</vt:lpstr>
      <vt:lpstr>NEW_PermSalaryFilled</vt:lpstr>
      <vt:lpstr>'EDMA|0001-00'!NEW_PermVBFilled</vt:lpstr>
      <vt:lpstr>'EDMA|0348-00'!NEW_PermVBFilled</vt:lpstr>
      <vt:lpstr>'EDMA|0349-00'!NEW_PermVBFilled</vt:lpstr>
      <vt:lpstr>'EDMA|0481-09'!NEW_PermVBFilled</vt:lpstr>
      <vt:lpstr>'EDMB|0450-75'!NEW_PermVBFilled</vt:lpstr>
      <vt:lpstr>NEW_PermVBFilled</vt:lpstr>
      <vt:lpstr>'EDMA|0001-00'!OneTimePC_Total</vt:lpstr>
      <vt:lpstr>'EDMA|0348-00'!OneTimePC_Total</vt:lpstr>
      <vt:lpstr>'EDMA|0349-00'!OneTimePC_Total</vt:lpstr>
      <vt:lpstr>'EDMA|0481-09'!OneTimePC_Total</vt:lpstr>
      <vt:lpstr>'EDMB|0450-75'!OneTimePC_Total</vt:lpstr>
      <vt:lpstr>OneTimePC_Total</vt:lpstr>
      <vt:lpstr>'EDMA|0001-00'!OrigApprop</vt:lpstr>
      <vt:lpstr>'EDMA|0348-00'!OrigApprop</vt:lpstr>
      <vt:lpstr>'EDMA|0349-00'!OrigApprop</vt:lpstr>
      <vt:lpstr>'EDMA|0481-09'!OrigApprop</vt:lpstr>
      <vt:lpstr>'EDMB|0450-75'!OrigApprop</vt:lpstr>
      <vt:lpstr>OrigApprop</vt:lpstr>
      <vt:lpstr>'EDMA|0001-00'!perm_name</vt:lpstr>
      <vt:lpstr>'EDMA|0348-00'!perm_name</vt:lpstr>
      <vt:lpstr>'EDMA|0349-00'!perm_name</vt:lpstr>
      <vt:lpstr>'EDMA|0481-09'!perm_name</vt:lpstr>
      <vt:lpstr>'EDMB|0450-75'!perm_name</vt:lpstr>
      <vt:lpstr>perm_name</vt:lpstr>
      <vt:lpstr>'EDMA|0001-00'!PermFTP</vt:lpstr>
      <vt:lpstr>'EDMA|0348-00'!PermFTP</vt:lpstr>
      <vt:lpstr>'EDMA|0349-00'!PermFTP</vt:lpstr>
      <vt:lpstr>'EDMA|0481-09'!PermFTP</vt:lpstr>
      <vt:lpstr>'EDMB|0450-75'!PermFTP</vt:lpstr>
      <vt:lpstr>PermFTP</vt:lpstr>
      <vt:lpstr>'EDMA|0001-00'!PermFxdBen</vt:lpstr>
      <vt:lpstr>'EDMA|0348-00'!PermFxdBen</vt:lpstr>
      <vt:lpstr>'EDMA|0349-00'!PermFxdBen</vt:lpstr>
      <vt:lpstr>'EDMA|0481-09'!PermFxdBen</vt:lpstr>
      <vt:lpstr>'EDMB|0450-75'!PermFxdBen</vt:lpstr>
      <vt:lpstr>PermFxdBen</vt:lpstr>
      <vt:lpstr>'EDMA|0001-00'!PermFxdBenChg</vt:lpstr>
      <vt:lpstr>'EDMA|0348-00'!PermFxdBenChg</vt:lpstr>
      <vt:lpstr>'EDMA|0349-00'!PermFxdBenChg</vt:lpstr>
      <vt:lpstr>'EDMA|0481-09'!PermFxdBenChg</vt:lpstr>
      <vt:lpstr>'EDMB|0450-75'!PermFxdBenChg</vt:lpstr>
      <vt:lpstr>PermFxdBenChg</vt:lpstr>
      <vt:lpstr>'EDMA|0001-00'!PermFxdChg</vt:lpstr>
      <vt:lpstr>'EDMA|0348-00'!PermFxdChg</vt:lpstr>
      <vt:lpstr>'EDMA|0349-00'!PermFxdChg</vt:lpstr>
      <vt:lpstr>'EDMA|0481-09'!PermFxdChg</vt:lpstr>
      <vt:lpstr>'EDMB|0450-75'!PermFxdChg</vt:lpstr>
      <vt:lpstr>PermFxdChg</vt:lpstr>
      <vt:lpstr>'EDMA|0001-00'!PermSalary</vt:lpstr>
      <vt:lpstr>'EDMA|0348-00'!PermSalary</vt:lpstr>
      <vt:lpstr>'EDMA|0349-00'!PermSalary</vt:lpstr>
      <vt:lpstr>'EDMA|0481-09'!PermSalary</vt:lpstr>
      <vt:lpstr>'EDMB|0450-75'!PermSalary</vt:lpstr>
      <vt:lpstr>PermSalary</vt:lpstr>
      <vt:lpstr>'EDMA|0001-00'!PermVarBen</vt:lpstr>
      <vt:lpstr>'EDMA|0348-00'!PermVarBen</vt:lpstr>
      <vt:lpstr>'EDMA|0349-00'!PermVarBen</vt:lpstr>
      <vt:lpstr>'EDMA|0481-09'!PermVarBen</vt:lpstr>
      <vt:lpstr>'EDMB|0450-75'!PermVarBen</vt:lpstr>
      <vt:lpstr>PermVarBen</vt:lpstr>
      <vt:lpstr>'EDMA|0001-00'!PermVarBenChg</vt:lpstr>
      <vt:lpstr>'EDMA|0348-00'!PermVarBenChg</vt:lpstr>
      <vt:lpstr>'EDMA|0349-00'!PermVarBenChg</vt:lpstr>
      <vt:lpstr>'EDMA|0481-09'!PermVarBenChg</vt:lpstr>
      <vt:lpstr>'EDMB|0450-75'!PermVarBenChg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'EDMA|0001-00'!Print_Area</vt:lpstr>
      <vt:lpstr>'EDMA|0348-00'!Print_Area</vt:lpstr>
      <vt:lpstr>'EDMA|0349-00'!Print_Area</vt:lpstr>
      <vt:lpstr>'EDMA|0481-09'!Print_Area</vt:lpstr>
      <vt:lpstr>'EDMB|0450-75'!Print_Area</vt:lpstr>
      <vt:lpstr>'EDMA|0001-00'!Prog_Unadjusted_Total</vt:lpstr>
      <vt:lpstr>'EDMA|0348-00'!Prog_Unadjusted_Total</vt:lpstr>
      <vt:lpstr>'EDMA|0349-00'!Prog_Unadjusted_Total</vt:lpstr>
      <vt:lpstr>'EDMA|0481-09'!Prog_Unadjusted_Total</vt:lpstr>
      <vt:lpstr>'EDMB|0450-75'!Prog_Unadjusted_Total</vt:lpstr>
      <vt:lpstr>Prog_Unadjusted_Total</vt:lpstr>
      <vt:lpstr>'EDMA|0001-00'!Program</vt:lpstr>
      <vt:lpstr>'EDMA|0348-00'!Program</vt:lpstr>
      <vt:lpstr>'EDMA|0349-00'!Program</vt:lpstr>
      <vt:lpstr>'EDMA|0481-09'!Program</vt:lpstr>
      <vt:lpstr>'EDMB|0450-75'!Program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'EDMA|0001-00'!RoundedAppropSalary</vt:lpstr>
      <vt:lpstr>'EDMA|0348-00'!RoundedAppropSalary</vt:lpstr>
      <vt:lpstr>'EDMA|0349-00'!RoundedAppropSalary</vt:lpstr>
      <vt:lpstr>'EDMA|0481-09'!RoundedAppropSalary</vt:lpstr>
      <vt:lpstr>'EDMB|0450-75'!RoundedAppropSalary</vt:lpstr>
      <vt:lpstr>RoundedAppropSalary</vt:lpstr>
      <vt:lpstr>'EDMA|0001-00'!SalaryChg</vt:lpstr>
      <vt:lpstr>'EDMA|0348-00'!SalaryChg</vt:lpstr>
      <vt:lpstr>'EDMA|0349-00'!SalaryChg</vt:lpstr>
      <vt:lpstr>'EDMA|0481-09'!SalaryChg</vt:lpstr>
      <vt:lpstr>'EDMB|0450-75'!SalaryChg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523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2022-07-25T23:25:30Z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