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4\"/>
    </mc:Choice>
  </mc:AlternateContent>
  <xr:revisionPtr revIDLastSave="0" documentId="13_ncr:1_{6E7CEC45-82DA-46A5-AEE9-58F44E2B1657}" xr6:coauthVersionLast="47" xr6:coauthVersionMax="47" xr10:uidLastSave="{00000000-0000-0000-0000-000000000000}"/>
  <bookViews>
    <workbookView xWindow="3195" yWindow="3150" windowWidth="21600" windowHeight="11325" xr2:uid="{00000000-000D-0000-FFFF-FFFF00000000}"/>
  </bookViews>
  <sheets>
    <sheet name="EDAB|0001-00" sheetId="12" r:id="rId1"/>
    <sheet name="EDAB|0325-33" sheetId="13" r:id="rId2"/>
    <sheet name="Data" sheetId="5" r:id="rId3"/>
    <sheet name="Benefits" sheetId="7" r:id="rId4"/>
    <sheet name="B6" sheetId="9" r:id="rId5"/>
    <sheet name="Summary" sheetId="10" r:id="rId6"/>
    <sheet name="FundSummary" sheetId="11" r:id="rId7"/>
  </sheets>
  <definedNames>
    <definedName name="AdjGroupHlth" localSheetId="0">'EDAB|0001-00'!$H$39</definedName>
    <definedName name="AdjGroupHlth" localSheetId="1">'EDAB|0325-33'!$H$39</definedName>
    <definedName name="AdjGroupHlth">'B6'!$H$39</definedName>
    <definedName name="AdjGroupSalary" localSheetId="0">'EDAB|0001-00'!$G$39</definedName>
    <definedName name="AdjGroupSalary" localSheetId="1">'EDAB|0325-33'!$G$39</definedName>
    <definedName name="AdjGroupSalary">'B6'!$G$39</definedName>
    <definedName name="AdjGroupVB" localSheetId="0">'EDAB|0001-00'!$I$39</definedName>
    <definedName name="AdjGroupVB" localSheetId="1">'EDAB|0325-33'!$I$39</definedName>
    <definedName name="AdjGroupVB">'B6'!$I$39</definedName>
    <definedName name="AdjGroupVBBY" localSheetId="0">'EDAB|0001-00'!$M$39</definedName>
    <definedName name="AdjGroupVBBY" localSheetId="1">'EDAB|0325-33'!$M$39</definedName>
    <definedName name="AdjGroupVBBY">'B6'!$M$39</definedName>
    <definedName name="AdjPermHlth" localSheetId="0">'EDAB|0001-00'!$H$38</definedName>
    <definedName name="AdjPermHlth" localSheetId="1">'EDAB|0325-33'!$H$38</definedName>
    <definedName name="AdjPermHlth">'B6'!$H$38</definedName>
    <definedName name="AdjPermHlthBY" localSheetId="0">'EDAB|0001-00'!$L$38</definedName>
    <definedName name="AdjPermHlthBY" localSheetId="1">'EDAB|0325-33'!$L$38</definedName>
    <definedName name="AdjPermHlthBY">'B6'!$L$38</definedName>
    <definedName name="AdjPermSalary" localSheetId="0">'EDAB|0001-00'!$G$38</definedName>
    <definedName name="AdjPermSalary" localSheetId="1">'EDAB|0325-33'!$G$38</definedName>
    <definedName name="AdjPermSalary">'B6'!$G$38</definedName>
    <definedName name="AdjPermVB" localSheetId="0">'EDAB|0001-00'!$I$38</definedName>
    <definedName name="AdjPermVB" localSheetId="1">'EDAB|0325-33'!$I$38</definedName>
    <definedName name="AdjPermVB">'B6'!$I$38</definedName>
    <definedName name="AdjPermVBBY" localSheetId="0">'EDAB|0001-00'!$M$38</definedName>
    <definedName name="AdjPermVBBY" localSheetId="1">'EDAB|0325-33'!$M$38</definedName>
    <definedName name="AdjPermVBBY">'B6'!$M$38</definedName>
    <definedName name="AdjustedTotal" localSheetId="0">'EDAB|0001-00'!$J$16</definedName>
    <definedName name="AdjustedTotal" localSheetId="1">'EDAB|0325-33'!$J$16</definedName>
    <definedName name="AdjustedTotal">'B6'!$J$16</definedName>
    <definedName name="AgencyNum" localSheetId="0">'EDAB|0001-00'!$M$1</definedName>
    <definedName name="AgencyNum" localSheetId="1">'EDAB|0325-33'!$M$1</definedName>
    <definedName name="AgencyNum">'B6'!$M$1</definedName>
    <definedName name="AppropFTP" localSheetId="0">'EDAB|0001-00'!$F$15</definedName>
    <definedName name="AppropFTP" localSheetId="1">'EDAB|0325-33'!$F$15</definedName>
    <definedName name="AppropFTP">'B6'!$F$15</definedName>
    <definedName name="AppropTotal" localSheetId="0">'EDAB|0001-00'!$J$15</definedName>
    <definedName name="AppropTotal" localSheetId="1">'EDAB|0325-33'!$J$15</definedName>
    <definedName name="AppropTotal">'B6'!$J$15</definedName>
    <definedName name="AtZHealth" localSheetId="0">'EDAB|0001-00'!$H$45</definedName>
    <definedName name="AtZHealth" localSheetId="1">'EDAB|0325-33'!$H$45</definedName>
    <definedName name="AtZHealth">'B6'!$H$45</definedName>
    <definedName name="AtZSalary" localSheetId="0">'EDAB|0001-00'!$G$45</definedName>
    <definedName name="AtZSalary" localSheetId="1">'EDAB|0325-33'!$G$45</definedName>
    <definedName name="AtZSalary">'B6'!$G$45</definedName>
    <definedName name="AtZTotal" localSheetId="0">'EDAB|0001-00'!$J$45</definedName>
    <definedName name="AtZTotal" localSheetId="1">'EDAB|0325-33'!$J$45</definedName>
    <definedName name="AtZTotal">'B6'!$J$45</definedName>
    <definedName name="AtZVarBen" localSheetId="0">'EDAB|0001-00'!$I$45</definedName>
    <definedName name="AtZVarBen" localSheetId="1">'EDAB|0325-33'!$I$45</definedName>
    <definedName name="AtZVarBen">'B6'!$I$45</definedName>
    <definedName name="BudgetUnit" localSheetId="0">'EDAB|0001-00'!$M$3</definedName>
    <definedName name="BudgetUnit" localSheetId="1">'EDAB|0325-33'!$M$3</definedName>
    <definedName name="BudgetUnit">'B6'!$M$3</definedName>
    <definedName name="BudgetYear">Benefits!$D$4</definedName>
    <definedName name="CECGroup">Benefits!$C$39</definedName>
    <definedName name="CECOrigElectSalary" localSheetId="0">'EDAB|0001-00'!$G$74</definedName>
    <definedName name="CECOrigElectSalary" localSheetId="1">'EDAB|0325-33'!$G$74</definedName>
    <definedName name="CECOrigElectSalary">'B6'!$G$74</definedName>
    <definedName name="CECOrigElectVB" localSheetId="0">'EDAB|0001-00'!$I$74</definedName>
    <definedName name="CECOrigElectVB" localSheetId="1">'EDAB|0325-33'!$I$74</definedName>
    <definedName name="CECOrigElectVB">'B6'!$I$74</definedName>
    <definedName name="CECOrigGroupSalary" localSheetId="0">'EDAB|0001-00'!$G$73</definedName>
    <definedName name="CECOrigGroupSalary" localSheetId="1">'EDAB|0325-33'!$G$73</definedName>
    <definedName name="CECOrigGroupSalary">'B6'!$G$73</definedName>
    <definedName name="CECOrigGroupVB" localSheetId="0">'EDAB|0001-00'!$I$73</definedName>
    <definedName name="CECOrigGroupVB" localSheetId="1">'EDAB|0325-33'!$I$73</definedName>
    <definedName name="CECOrigGroupVB">'B6'!$I$73</definedName>
    <definedName name="CECOrigPermSalary" localSheetId="0">'EDAB|0001-00'!$G$72</definedName>
    <definedName name="CECOrigPermSalary" localSheetId="1">'EDAB|0325-33'!$G$72</definedName>
    <definedName name="CECOrigPermSalary">'B6'!$G$72</definedName>
    <definedName name="CECOrigPermVB" localSheetId="0">'EDAB|0001-00'!$I$72</definedName>
    <definedName name="CECOrigPermVB" localSheetId="1">'EDAB|0325-33'!$I$72</definedName>
    <definedName name="CECOrigPermVB">'B6'!$I$72</definedName>
    <definedName name="CECPerm">Benefits!$C$38</definedName>
    <definedName name="CECpermCalc" localSheetId="0">'EDAB|0001-00'!$E$72</definedName>
    <definedName name="CECpermCalc" localSheetId="1">'EDAB|0325-33'!$E$72</definedName>
    <definedName name="CECpermCalc">'B6'!$E$72</definedName>
    <definedName name="Department" localSheetId="0">'EDAB|0001-00'!$D$1</definedName>
    <definedName name="Department" localSheetId="1">'EDAB|0325-33'!$D$1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'EDAB|0001-00'!$D$2</definedName>
    <definedName name="Division" localSheetId="1">'EDAB|0325-33'!$D$2</definedName>
    <definedName name="Division">'B6'!$D$2</definedName>
    <definedName name="DUCECElect" localSheetId="0">'EDAB|0001-00'!$J$74</definedName>
    <definedName name="DUCECElect" localSheetId="1">'EDAB|0325-33'!$J$74</definedName>
    <definedName name="DUCECElect">'B6'!$J$74</definedName>
    <definedName name="DUCECGroup" localSheetId="0">'EDAB|0001-00'!$J$73</definedName>
    <definedName name="DUCECGroup" localSheetId="1">'EDAB|0325-33'!$J$73</definedName>
    <definedName name="DUCECGroup">'B6'!$J$73</definedName>
    <definedName name="DUCECPerm" localSheetId="0">'EDAB|0001-00'!$J$72</definedName>
    <definedName name="DUCECPerm" localSheetId="1">'EDAB|0325-33'!$J$72</definedName>
    <definedName name="DUCECPerm">'B6'!$J$72</definedName>
    <definedName name="DUEleven" localSheetId="0">'EDAB|0001-00'!$J$75</definedName>
    <definedName name="DUEleven" localSheetId="1">'EDAB|0325-33'!$J$75</definedName>
    <definedName name="DUEleven">'B6'!$J$75</definedName>
    <definedName name="DUHealthBen" localSheetId="0">'EDAB|0001-00'!$J$68</definedName>
    <definedName name="DUHealthBen" localSheetId="1">'EDAB|0325-33'!$J$68</definedName>
    <definedName name="DUHealthBen">'B6'!$J$68</definedName>
    <definedName name="DUNine" localSheetId="0">'EDAB|0001-00'!$J$67</definedName>
    <definedName name="DUNine" localSheetId="1">'EDAB|0325-33'!$J$67</definedName>
    <definedName name="DUNine">'B6'!$J$67</definedName>
    <definedName name="DUThirteen" localSheetId="0">'EDAB|0001-00'!$J$80</definedName>
    <definedName name="DUThirteen" localSheetId="1">'EDAB|0325-33'!$J$80</definedName>
    <definedName name="DUThirteen">'B6'!$J$80</definedName>
    <definedName name="DUVariableBen" localSheetId="0">'EDAB|0001-00'!$J$69</definedName>
    <definedName name="DUVariableBen" localSheetId="1">'EDAB|0325-33'!$J$69</definedName>
    <definedName name="DUVariableBen">'B6'!$J$69</definedName>
    <definedName name="EDAB000100col_1_27TH_PP">Data!$BA$17</definedName>
    <definedName name="EDAB000100col_DHR">Data!$BI$17</definedName>
    <definedName name="EDAB000100col_DHR_BY">Data!$BU$17</definedName>
    <definedName name="EDAB000100col_DHR_CHG">Data!$CG$17</definedName>
    <definedName name="EDAB000100col_FTI_SALARY_ELECT">Data!$AZ$17</definedName>
    <definedName name="EDAB000100col_FTI_SALARY_PERM">Data!$AY$17</definedName>
    <definedName name="EDAB000100col_FTI_SALARY_SSDI">Data!$AX$17</definedName>
    <definedName name="EDAB000100col_Group_Ben">Data!$CM$17</definedName>
    <definedName name="EDAB000100col_Group_Salary">Data!$CL$17</definedName>
    <definedName name="EDAB000100col_HEALTH_ELECT">Data!$BC$17</definedName>
    <definedName name="EDAB000100col_HEALTH_ELECT_BY">Data!$BO$17</definedName>
    <definedName name="EDAB000100col_HEALTH_ELECT_CHG">Data!$CA$17</definedName>
    <definedName name="EDAB000100col_HEALTH_PERM">Data!$BB$17</definedName>
    <definedName name="EDAB000100col_HEALTH_PERM_BY">Data!$BN$17</definedName>
    <definedName name="EDAB000100col_HEALTH_PERM_CHG">Data!$BZ$17</definedName>
    <definedName name="EDAB000100col_INC_FTI">Data!$AS$17</definedName>
    <definedName name="EDAB000100col_LIFE_INS">Data!$BG$17</definedName>
    <definedName name="EDAB000100col_LIFE_INS_BY">Data!$BS$17</definedName>
    <definedName name="EDAB000100col_LIFE_INS_CHG">Data!$CE$17</definedName>
    <definedName name="EDAB000100col_RETIREMENT">Data!$BF$17</definedName>
    <definedName name="EDAB000100col_RETIREMENT_BY">Data!$BR$17</definedName>
    <definedName name="EDAB000100col_RETIREMENT_CHG">Data!$CD$17</definedName>
    <definedName name="EDAB000100col_ROWS_PER_PCN">Data!$AW$17</definedName>
    <definedName name="EDAB000100col_SICK">Data!$BK$17</definedName>
    <definedName name="EDAB000100col_SICK_BY">Data!$BW$17</definedName>
    <definedName name="EDAB000100col_SICK_CHG">Data!$CI$17</definedName>
    <definedName name="EDAB000100col_SSDI">Data!$BD$17</definedName>
    <definedName name="EDAB000100col_SSDI_BY">Data!$BP$17</definedName>
    <definedName name="EDAB000100col_SSDI_CHG">Data!$CB$17</definedName>
    <definedName name="EDAB000100col_SSHI">Data!$BE$17</definedName>
    <definedName name="EDAB000100col_SSHI_BY">Data!$BQ$17</definedName>
    <definedName name="EDAB000100col_SSHI_CHGv">Data!$CC$17</definedName>
    <definedName name="EDAB000100col_TOT_VB_ELECT">Data!$BM$17</definedName>
    <definedName name="EDAB000100col_TOT_VB_ELECT_BY">Data!$BY$17</definedName>
    <definedName name="EDAB000100col_TOT_VB_ELECT_CHG">Data!$CK$17</definedName>
    <definedName name="EDAB000100col_TOT_VB_PERM">Data!$BL$17</definedName>
    <definedName name="EDAB000100col_TOT_VB_PERM_BY">Data!$BX$17</definedName>
    <definedName name="EDAB000100col_TOT_VB_PERM_CHG">Data!$CJ$17</definedName>
    <definedName name="EDAB000100col_TOTAL_ELECT_PCN_FTI">Data!$AT$17</definedName>
    <definedName name="EDAB000100col_TOTAL_ELECT_PCN_FTI_ALT">Data!$AV$17</definedName>
    <definedName name="EDAB000100col_TOTAL_PERM_PCN_FTI">Data!$AU$17</definedName>
    <definedName name="EDAB000100col_UNEMP_INS">Data!$BH$17</definedName>
    <definedName name="EDAB000100col_UNEMP_INS_BY">Data!$BT$17</definedName>
    <definedName name="EDAB000100col_UNEMP_INS_CHG">Data!$CF$17</definedName>
    <definedName name="EDAB000100col_WORKERS_COMP">Data!$BJ$17</definedName>
    <definedName name="EDAB000100col_WORKERS_COMP_BY">Data!$BV$17</definedName>
    <definedName name="EDAB000100col_WORKERS_COMP_CHG">Data!$CH$17</definedName>
    <definedName name="EDAB032533col_1_27TH_PP">Data!$BA$19</definedName>
    <definedName name="EDAB032533col_DHR">Data!$BI$19</definedName>
    <definedName name="EDAB032533col_DHR_BY">Data!$BU$19</definedName>
    <definedName name="EDAB032533col_DHR_CHG">Data!$CG$19</definedName>
    <definedName name="EDAB032533col_FTI_SALARY_ELECT">Data!$AZ$19</definedName>
    <definedName name="EDAB032533col_FTI_SALARY_PERM">Data!$AY$19</definedName>
    <definedName name="EDAB032533col_FTI_SALARY_SSDI">Data!$AX$19</definedName>
    <definedName name="EDAB032533col_Group_Ben">Data!$CM$19</definedName>
    <definedName name="EDAB032533col_Group_Salary">Data!$CL$19</definedName>
    <definedName name="EDAB032533col_HEALTH_ELECT">Data!$BC$19</definedName>
    <definedName name="EDAB032533col_HEALTH_ELECT_BY">Data!$BO$19</definedName>
    <definedName name="EDAB032533col_HEALTH_ELECT_CHG">Data!$CA$19</definedName>
    <definedName name="EDAB032533col_HEALTH_PERM">Data!$BB$19</definedName>
    <definedName name="EDAB032533col_HEALTH_PERM_BY">Data!$BN$19</definedName>
    <definedName name="EDAB032533col_HEALTH_PERM_CHG">Data!$BZ$19</definedName>
    <definedName name="EDAB032533col_INC_FTI">Data!$AS$19</definedName>
    <definedName name="EDAB032533col_LIFE_INS">Data!$BG$19</definedName>
    <definedName name="EDAB032533col_LIFE_INS_BY">Data!$BS$19</definedName>
    <definedName name="EDAB032533col_LIFE_INS_CHG">Data!$CE$19</definedName>
    <definedName name="EDAB032533col_RETIREMENT">Data!$BF$19</definedName>
    <definedName name="EDAB032533col_RETIREMENT_BY">Data!$BR$19</definedName>
    <definedName name="EDAB032533col_RETIREMENT_CHG">Data!$CD$19</definedName>
    <definedName name="EDAB032533col_ROWS_PER_PCN">Data!$AW$19</definedName>
    <definedName name="EDAB032533col_SICK">Data!$BK$19</definedName>
    <definedName name="EDAB032533col_SICK_BY">Data!$BW$19</definedName>
    <definedName name="EDAB032533col_SICK_CHG">Data!$CI$19</definedName>
    <definedName name="EDAB032533col_SSDI">Data!$BD$19</definedName>
    <definedName name="EDAB032533col_SSDI_BY">Data!$BP$19</definedName>
    <definedName name="EDAB032533col_SSDI_CHG">Data!$CB$19</definedName>
    <definedName name="EDAB032533col_SSHI">Data!$BE$19</definedName>
    <definedName name="EDAB032533col_SSHI_BY">Data!$BQ$19</definedName>
    <definedName name="EDAB032533col_SSHI_CHGv">Data!$CC$19</definedName>
    <definedName name="EDAB032533col_TOT_VB_ELECT">Data!$BM$19</definedName>
    <definedName name="EDAB032533col_TOT_VB_ELECT_BY">Data!$BY$19</definedName>
    <definedName name="EDAB032533col_TOT_VB_ELECT_CHG">Data!$CK$19</definedName>
    <definedName name="EDAB032533col_TOT_VB_PERM">Data!$BL$19</definedName>
    <definedName name="EDAB032533col_TOT_VB_PERM_BY">Data!$BX$19</definedName>
    <definedName name="EDAB032533col_TOT_VB_PERM_CHG">Data!$CJ$19</definedName>
    <definedName name="EDAB032533col_TOTAL_ELECT_PCN_FTI">Data!$AT$19</definedName>
    <definedName name="EDAB032533col_TOTAL_ELECT_PCN_FTI_ALT">Data!$AV$19</definedName>
    <definedName name="EDAB032533col_TOTAL_PERM_PCN_FTI">Data!$AU$19</definedName>
    <definedName name="EDAB032533col_UNEMP_INS">Data!$BH$19</definedName>
    <definedName name="EDAB032533col_UNEMP_INS_BY">Data!$BT$19</definedName>
    <definedName name="EDAB032533col_UNEMP_INS_CHG">Data!$CF$19</definedName>
    <definedName name="EDAB032533col_WORKERS_COMP">Data!$BJ$19</definedName>
    <definedName name="EDAB032533col_WORKERS_COMP_BY">Data!$BV$19</definedName>
    <definedName name="EDAB032533col_WORKERS_COMP_CHG">Data!$CH$19</definedName>
    <definedName name="Elect_chg_health" localSheetId="0">'EDAB|0001-00'!$L$12</definedName>
    <definedName name="Elect_chg_health" localSheetId="1">'EDAB|0325-33'!$L$12</definedName>
    <definedName name="Elect_chg_health">'B6'!$L$12</definedName>
    <definedName name="Elect_chg_Var" localSheetId="0">'EDAB|0001-00'!$M$12</definedName>
    <definedName name="Elect_chg_Var" localSheetId="1">'EDAB|0325-33'!$M$12</definedName>
    <definedName name="Elect_chg_Var">'B6'!$M$12</definedName>
    <definedName name="elect_FTP" localSheetId="0">'EDAB|0001-00'!$F$12</definedName>
    <definedName name="elect_FTP" localSheetId="1">'EDAB|0325-33'!$F$12</definedName>
    <definedName name="elect_FTP">'B6'!$F$12</definedName>
    <definedName name="Elect_health" localSheetId="0">'EDAB|0001-00'!$H$12</definedName>
    <definedName name="Elect_health" localSheetId="1">'EDAB|0325-33'!$H$12</definedName>
    <definedName name="Elect_health">'B6'!$H$12</definedName>
    <definedName name="Elect_name" localSheetId="0">'EDAB|0001-00'!$C$12</definedName>
    <definedName name="Elect_name" localSheetId="1">'EDAB|0325-33'!$C$12</definedName>
    <definedName name="Elect_name">'B6'!$C$12</definedName>
    <definedName name="Elect_salary" localSheetId="0">'EDAB|0001-00'!$G$12</definedName>
    <definedName name="Elect_salary" localSheetId="1">'EDAB|0325-33'!$G$12</definedName>
    <definedName name="Elect_salary">'B6'!$G$12</definedName>
    <definedName name="Elect_Var" localSheetId="0">'EDAB|0001-00'!$I$12</definedName>
    <definedName name="Elect_Var" localSheetId="1">'EDAB|0325-33'!$I$12</definedName>
    <definedName name="Elect_Var">'B6'!$I$12</definedName>
    <definedName name="Elect_VarBen" localSheetId="0">'EDAB|0001-00'!$I$12</definedName>
    <definedName name="Elect_VarBen" localSheetId="1">'EDAB|0325-33'!$I$12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'EDAB|0001-00'!#REF!</definedName>
    <definedName name="FillRateAvg_B6" localSheetId="1">'EDAB|0325-33'!#REF!</definedName>
    <definedName name="FillRateAvg_B6">'B6'!#REF!</definedName>
    <definedName name="FiscalYear" localSheetId="0">'EDAB|0001-00'!$M$4</definedName>
    <definedName name="FiscalYear" localSheetId="1">'EDAB|0325-33'!$M$4</definedName>
    <definedName name="FiscalYear">'B6'!$M$4</definedName>
    <definedName name="FundName" localSheetId="0">'EDAB|0001-00'!$I$5</definedName>
    <definedName name="FundName" localSheetId="1">'EDAB|0325-33'!$I$5</definedName>
    <definedName name="FundName">'B6'!$I$5</definedName>
    <definedName name="FundNum" localSheetId="0">'EDAB|0001-00'!$N$5</definedName>
    <definedName name="FundNum" localSheetId="1">'EDAB|0325-33'!$N$5</definedName>
    <definedName name="FundNum">'B6'!$N$5</definedName>
    <definedName name="FundNumber" localSheetId="0">'EDAB|0001-00'!$N$5</definedName>
    <definedName name="FundNumber" localSheetId="1">'EDAB|0325-33'!$N$5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'EDAB|0001-00'!$C$11</definedName>
    <definedName name="Group_name" localSheetId="1">'EDAB|0325-33'!$C$11</definedName>
    <definedName name="Group_name">'B6'!$C$11</definedName>
    <definedName name="GroupFxdBen" localSheetId="0">'EDAB|0001-00'!$H$11</definedName>
    <definedName name="GroupFxdBen" localSheetId="1">'EDAB|0325-33'!$H$11</definedName>
    <definedName name="GroupFxdBen">'B6'!$H$11</definedName>
    <definedName name="GroupSalary" localSheetId="0">'EDAB|0001-00'!$G$11</definedName>
    <definedName name="GroupSalary" localSheetId="1">'EDAB|0325-33'!$G$11</definedName>
    <definedName name="GroupSalary">'B6'!$G$11</definedName>
    <definedName name="GroupVarBen" localSheetId="0">'EDAB|0001-00'!$I$11</definedName>
    <definedName name="GroupVarBen" localSheetId="1">'EDAB|0325-33'!$I$11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'EDAB|0001-00'!$M$2</definedName>
    <definedName name="LUMAFund" localSheetId="1">'EDAB|0325-33'!$M$2</definedName>
    <definedName name="LUMAFund">'B6'!$M$2</definedName>
    <definedName name="MAXSSDI">Benefits!$F$5</definedName>
    <definedName name="MAXSSDIBY">Benefits!$G$5</definedName>
    <definedName name="NEW_AdjGroup" localSheetId="0">'EDAB|0001-00'!$AC$39</definedName>
    <definedName name="NEW_AdjGroup" localSheetId="1">'EDAB|0325-33'!$AC$39</definedName>
    <definedName name="NEW_AdjGroup">'B6'!$AC$39</definedName>
    <definedName name="NEW_AdjGroupSalary" localSheetId="0">'EDAB|0001-00'!$AA$39</definedName>
    <definedName name="NEW_AdjGroupSalary" localSheetId="1">'EDAB|0325-33'!$AA$39</definedName>
    <definedName name="NEW_AdjGroupSalary">'B6'!$AA$39</definedName>
    <definedName name="NEW_AdjGroupVB" localSheetId="0">'EDAB|0001-00'!$AB$39</definedName>
    <definedName name="NEW_AdjGroupVB" localSheetId="1">'EDAB|0325-33'!$AB$39</definedName>
    <definedName name="NEW_AdjGroupVB">'B6'!$AB$39</definedName>
    <definedName name="NEW_AdjONLYGroup" localSheetId="0">'EDAB|0001-00'!$AC$45</definedName>
    <definedName name="NEW_AdjONLYGroup" localSheetId="1">'EDAB|0325-33'!$AC$45</definedName>
    <definedName name="NEW_AdjONLYGroup">'B6'!$AC$45</definedName>
    <definedName name="NEW_AdjONLYGroupSalary" localSheetId="0">'EDAB|0001-00'!$AA$45</definedName>
    <definedName name="NEW_AdjONLYGroupSalary" localSheetId="1">'EDAB|0325-33'!$AA$45</definedName>
    <definedName name="NEW_AdjONLYGroupSalary">'B6'!$AA$45</definedName>
    <definedName name="NEW_AdjONLYGroupVB" localSheetId="0">'EDAB|0001-00'!$AB$45</definedName>
    <definedName name="NEW_AdjONLYGroupVB" localSheetId="1">'EDAB|0325-33'!$AB$45</definedName>
    <definedName name="NEW_AdjONLYGroupVB">'B6'!$AB$45</definedName>
    <definedName name="NEW_AdjONLYPerm" localSheetId="0">'EDAB|0001-00'!$AC$44</definedName>
    <definedName name="NEW_AdjONLYPerm" localSheetId="1">'EDAB|0325-33'!$AC$44</definedName>
    <definedName name="NEW_AdjONLYPerm">'B6'!$AC$44</definedName>
    <definedName name="NEW_AdjONLYPermSalary" localSheetId="0">'EDAB|0001-00'!$AA$44</definedName>
    <definedName name="NEW_AdjONLYPermSalary" localSheetId="1">'EDAB|0325-33'!$AA$44</definedName>
    <definedName name="NEW_AdjONLYPermSalary">'B6'!$AA$44</definedName>
    <definedName name="NEW_AdjONLYPermVB" localSheetId="0">'EDAB|0001-00'!$AB$44</definedName>
    <definedName name="NEW_AdjONLYPermVB" localSheetId="1">'EDAB|0325-33'!$AB$44</definedName>
    <definedName name="NEW_AdjONLYPermVB">'B6'!$AB$44</definedName>
    <definedName name="NEW_AdjPerm" localSheetId="0">'EDAB|0001-00'!$AC$38</definedName>
    <definedName name="NEW_AdjPerm" localSheetId="1">'EDAB|0325-33'!$AC$38</definedName>
    <definedName name="NEW_AdjPerm">'B6'!$AC$38</definedName>
    <definedName name="NEW_AdjPermSalary" localSheetId="0">'EDAB|0001-00'!$AA$38</definedName>
    <definedName name="NEW_AdjPermSalary" localSheetId="1">'EDAB|0325-33'!$AA$38</definedName>
    <definedName name="NEW_AdjPermSalary">'B6'!$AA$38</definedName>
    <definedName name="NEW_AdjPermVB" localSheetId="0">'EDAB|0001-00'!$AB$38</definedName>
    <definedName name="NEW_AdjPermVB" localSheetId="1">'EDAB|0325-33'!$AB$38</definedName>
    <definedName name="NEW_AdjPermVB">'B6'!$AB$38</definedName>
    <definedName name="NEW_GroupFilled" localSheetId="0">'EDAB|0001-00'!$AC$11</definedName>
    <definedName name="NEW_GroupFilled" localSheetId="1">'EDAB|0325-33'!$AC$11</definedName>
    <definedName name="NEW_GroupFilled">'B6'!$AC$11</definedName>
    <definedName name="NEW_GroupSalaryFilled" localSheetId="0">'EDAB|0001-00'!$AA$11</definedName>
    <definedName name="NEW_GroupSalaryFilled" localSheetId="1">'EDAB|0325-33'!$AA$11</definedName>
    <definedName name="NEW_GroupSalaryFilled">'B6'!$AA$11</definedName>
    <definedName name="NEW_GroupVBFilled" localSheetId="0">'EDAB|0001-00'!$AB$11</definedName>
    <definedName name="NEW_GroupVBFilled" localSheetId="1">'EDAB|0325-33'!$AB$11</definedName>
    <definedName name="NEW_GroupVBFilled">'B6'!$AB$11</definedName>
    <definedName name="NEW_PermFilled" localSheetId="0">'EDAB|0001-00'!$AC$10</definedName>
    <definedName name="NEW_PermFilled" localSheetId="1">'EDAB|0325-33'!$AC$10</definedName>
    <definedName name="NEW_PermFilled">'B6'!$AC$10</definedName>
    <definedName name="NEW_PermSalaryFilled" localSheetId="0">'EDAB|0001-00'!$AA$10</definedName>
    <definedName name="NEW_PermSalaryFilled" localSheetId="1">'EDAB|0325-33'!$AA$10</definedName>
    <definedName name="NEW_PermSalaryFilled">'B6'!$AA$10</definedName>
    <definedName name="NEW_PermVBFilled" localSheetId="0">'EDAB|0001-00'!$AB$10</definedName>
    <definedName name="NEW_PermVBFilled" localSheetId="1">'EDAB|0325-33'!$AB$10</definedName>
    <definedName name="NEW_PermVBFilled">'B6'!$AB$10</definedName>
    <definedName name="OneTimePC_Total" localSheetId="0">'EDAB|0001-00'!$J$63</definedName>
    <definedName name="OneTimePC_Total" localSheetId="1">'EDAB|0325-33'!$J$63</definedName>
    <definedName name="OneTimePC_Total">'B6'!$J$63</definedName>
    <definedName name="OrigApprop" localSheetId="0">'EDAB|0001-00'!$E$15</definedName>
    <definedName name="OrigApprop" localSheetId="1">'EDAB|0325-33'!$E$15</definedName>
    <definedName name="OrigApprop">'B6'!$E$15</definedName>
    <definedName name="perm_name" localSheetId="0">'EDAB|0001-00'!$C$10</definedName>
    <definedName name="perm_name" localSheetId="1">'EDAB|0325-33'!$C$10</definedName>
    <definedName name="perm_name">'B6'!$C$10</definedName>
    <definedName name="PermFTP" localSheetId="0">'EDAB|0001-00'!$F$10</definedName>
    <definedName name="PermFTP" localSheetId="1">'EDAB|0325-33'!$F$10</definedName>
    <definedName name="PermFTP">'B6'!$F$10</definedName>
    <definedName name="PermFxdBen" localSheetId="0">'EDAB|0001-00'!$H$10</definedName>
    <definedName name="PermFxdBen" localSheetId="1">'EDAB|0325-33'!$H$10</definedName>
    <definedName name="PermFxdBen">'B6'!$H$10</definedName>
    <definedName name="PermFxdBenChg" localSheetId="0">'EDAB|0001-00'!$L$10</definedName>
    <definedName name="PermFxdBenChg" localSheetId="1">'EDAB|0325-33'!$L$10</definedName>
    <definedName name="PermFxdBenChg">'B6'!$L$10</definedName>
    <definedName name="PermFxdChg" localSheetId="0">'EDAB|0001-00'!$L$10</definedName>
    <definedName name="PermFxdChg" localSheetId="1">'EDAB|0325-33'!$L$10</definedName>
    <definedName name="PermFxdChg">'B6'!$L$10</definedName>
    <definedName name="PermSalary" localSheetId="0">'EDAB|0001-00'!$G$10</definedName>
    <definedName name="PermSalary" localSheetId="1">'EDAB|0325-33'!$G$10</definedName>
    <definedName name="PermSalary">'B6'!$G$10</definedName>
    <definedName name="PermVarBen" localSheetId="0">'EDAB|0001-00'!$I$10</definedName>
    <definedName name="PermVarBen" localSheetId="1">'EDAB|0325-33'!$I$10</definedName>
    <definedName name="PermVarBen">'B6'!$I$10</definedName>
    <definedName name="PermVarBenChg" localSheetId="0">'EDAB|0001-00'!$M$10</definedName>
    <definedName name="PermVarBenChg" localSheetId="1">'EDAB|0325-33'!$M$10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4">'B6'!$A$1:$N$81</definedName>
    <definedName name="_xlnm.Print_Area" localSheetId="3">Benefits!$A$1:$G$36</definedName>
    <definedName name="_xlnm.Print_Area" localSheetId="0">'EDAB|0001-00'!$A$1:$N$81</definedName>
    <definedName name="_xlnm.Print_Area" localSheetId="1">'EDAB|0325-33'!$A$1:$N$81</definedName>
    <definedName name="Prog_Unadjusted_Total" localSheetId="0">'EDAB|0001-00'!$C$8:$N$16</definedName>
    <definedName name="Prog_Unadjusted_Total" localSheetId="1">'EDAB|0325-33'!$C$8:$N$16</definedName>
    <definedName name="Prog_Unadjusted_Total">'B6'!$C$8:$N$16</definedName>
    <definedName name="Program" localSheetId="0">'EDAB|0001-00'!$D$3</definedName>
    <definedName name="Program" localSheetId="1">'EDAB|0325-33'!$D$3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'EDAB|0001-00'!$G$52</definedName>
    <definedName name="RoundedAppropSalary" localSheetId="1">'EDAB|0325-33'!$G$52</definedName>
    <definedName name="RoundedAppropSalary">'B6'!$G$52</definedName>
    <definedName name="SalaryChg" localSheetId="0">'EDAB|0001-00'!$K$10</definedName>
    <definedName name="SalaryChg" localSheetId="1">'EDAB|0325-33'!$K$10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'EDAB|0001-00'!#REF!</definedName>
    <definedName name="SubCECBase" localSheetId="1">'EDAB|0325-33'!#REF!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K10" i="11"/>
  <c r="L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K13" i="11"/>
  <c r="L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J19" i="11"/>
  <c r="K19" i="11"/>
  <c r="L19" i="11"/>
  <c r="M19" i="11"/>
  <c r="E20" i="11"/>
  <c r="F20" i="11"/>
  <c r="G20" i="11"/>
  <c r="H20" i="11"/>
  <c r="I20" i="11"/>
  <c r="J20" i="11"/>
  <c r="K20" i="11"/>
  <c r="L20" i="11"/>
  <c r="M20" i="11"/>
  <c r="E21" i="11"/>
  <c r="F21" i="11"/>
  <c r="G21" i="11"/>
  <c r="H21" i="11"/>
  <c r="I21" i="11"/>
  <c r="J21" i="11"/>
  <c r="K21" i="11"/>
  <c r="L21" i="11"/>
  <c r="M21" i="11"/>
  <c r="E22" i="11"/>
  <c r="F22" i="11"/>
  <c r="G22" i="11"/>
  <c r="H22" i="11"/>
  <c r="I22" i="11"/>
  <c r="J22" i="11"/>
  <c r="K22" i="11"/>
  <c r="L22" i="11"/>
  <c r="M22" i="11"/>
  <c r="E23" i="11"/>
  <c r="F23" i="11"/>
  <c r="G23" i="11"/>
  <c r="H23" i="11"/>
  <c r="I23" i="11"/>
  <c r="K23" i="11"/>
  <c r="L23" i="11"/>
  <c r="AZ42" i="5"/>
  <c r="AY42" i="5"/>
  <c r="AW42" i="5"/>
  <c r="AV42" i="5"/>
  <c r="AU42" i="5"/>
  <c r="AT42" i="5"/>
  <c r="AS42" i="5"/>
  <c r="BA40" i="5"/>
  <c r="AZ40" i="5"/>
  <c r="AY40" i="5"/>
  <c r="AX40" i="5"/>
  <c r="AW40" i="5"/>
  <c r="AV40" i="5"/>
  <c r="AU40" i="5"/>
  <c r="AT40" i="5"/>
  <c r="AS40" i="5"/>
  <c r="AZ32" i="5"/>
  <c r="AY32" i="5"/>
  <c r="AW32" i="5"/>
  <c r="AV32" i="5"/>
  <c r="AU32" i="5"/>
  <c r="AT32" i="5"/>
  <c r="AS32" i="5"/>
  <c r="BA37" i="5"/>
  <c r="BA38" i="5" s="1"/>
  <c r="AY37" i="5"/>
  <c r="AX37" i="5"/>
  <c r="AV37" i="5"/>
  <c r="AU37" i="5"/>
  <c r="AU38" i="5" s="1"/>
  <c r="AT37" i="5"/>
  <c r="AT38" i="5" s="1"/>
  <c r="BA35" i="5"/>
  <c r="BA36" i="5" s="1"/>
  <c r="AY35" i="5"/>
  <c r="AX35" i="5"/>
  <c r="AX36" i="5" s="1"/>
  <c r="AV35" i="5"/>
  <c r="AV36" i="5" s="1"/>
  <c r="AU35" i="5"/>
  <c r="AU36" i="5" s="1"/>
  <c r="AT35" i="5"/>
  <c r="AT36" i="5" s="1"/>
  <c r="AW38" i="5"/>
  <c r="AZ38" i="5"/>
  <c r="AY38" i="5"/>
  <c r="AX38" i="5"/>
  <c r="AV38" i="5"/>
  <c r="AY36" i="5"/>
  <c r="AZ36" i="5"/>
  <c r="AW36" i="5"/>
  <c r="AZ30" i="5"/>
  <c r="AY30" i="5"/>
  <c r="AW30" i="5"/>
  <c r="AV30" i="5"/>
  <c r="AU30" i="5"/>
  <c r="AT30" i="5"/>
  <c r="AS30" i="5"/>
  <c r="AZ29" i="5"/>
  <c r="AY29" i="5"/>
  <c r="AW29" i="5"/>
  <c r="AV29" i="5"/>
  <c r="AU29" i="5"/>
  <c r="AT29" i="5"/>
  <c r="AS29" i="5"/>
  <c r="AZ28" i="5"/>
  <c r="AY28" i="5"/>
  <c r="AW28" i="5"/>
  <c r="AV28" i="5"/>
  <c r="AU28" i="5"/>
  <c r="AT28" i="5"/>
  <c r="AS28" i="5"/>
  <c r="AZ27" i="5"/>
  <c r="AY27" i="5"/>
  <c r="AW27" i="5"/>
  <c r="AV27" i="5"/>
  <c r="AU27" i="5"/>
  <c r="AT27" i="5"/>
  <c r="AS27" i="5"/>
  <c r="A20" i="10"/>
  <c r="J17" i="10"/>
  <c r="F17" i="10"/>
  <c r="F18" i="10" s="1"/>
  <c r="E17" i="10"/>
  <c r="D17" i="10"/>
  <c r="G16" i="10"/>
  <c r="E16" i="10"/>
  <c r="H16" i="10" s="1"/>
  <c r="J15" i="10"/>
  <c r="J18" i="10" s="1"/>
  <c r="I15" i="10"/>
  <c r="F15" i="10"/>
  <c r="E15" i="10"/>
  <c r="E18" i="10" s="1"/>
  <c r="D15" i="10"/>
  <c r="D18" i="10" s="1"/>
  <c r="D21" i="10" s="1"/>
  <c r="K13" i="10"/>
  <c r="J13" i="10"/>
  <c r="I13" i="10"/>
  <c r="H13" i="10"/>
  <c r="G13" i="10"/>
  <c r="F13" i="10"/>
  <c r="E13" i="10"/>
  <c r="L12" i="13"/>
  <c r="H12" i="13"/>
  <c r="G12" i="13"/>
  <c r="F12" i="13"/>
  <c r="I11" i="13"/>
  <c r="G11" i="13"/>
  <c r="L10" i="13"/>
  <c r="H10" i="13"/>
  <c r="K10" i="13"/>
  <c r="G10" i="13"/>
  <c r="F10" i="13"/>
  <c r="C80" i="13"/>
  <c r="J79" i="13"/>
  <c r="J78" i="13"/>
  <c r="J77" i="13"/>
  <c r="C75" i="13"/>
  <c r="J74" i="13"/>
  <c r="I74" i="13"/>
  <c r="E73" i="13"/>
  <c r="E72" i="13"/>
  <c r="J71" i="13"/>
  <c r="I71" i="13"/>
  <c r="J70" i="13"/>
  <c r="C67" i="13"/>
  <c r="J66" i="13"/>
  <c r="I66" i="13"/>
  <c r="H66" i="13"/>
  <c r="G66" i="13"/>
  <c r="N64" i="13"/>
  <c r="J64" i="13"/>
  <c r="N63" i="13"/>
  <c r="H63" i="13"/>
  <c r="N62" i="13"/>
  <c r="J62" i="13"/>
  <c r="C60" i="13"/>
  <c r="N59" i="13"/>
  <c r="J59" i="13"/>
  <c r="N58" i="13"/>
  <c r="J58" i="13"/>
  <c r="C56" i="13"/>
  <c r="N55" i="13"/>
  <c r="J55" i="13"/>
  <c r="J54" i="13"/>
  <c r="F51" i="13"/>
  <c r="E51" i="13"/>
  <c r="C51" i="13"/>
  <c r="M50" i="13"/>
  <c r="L50" i="13"/>
  <c r="K50" i="13"/>
  <c r="J50" i="13"/>
  <c r="I50" i="13"/>
  <c r="H50" i="13"/>
  <c r="G50" i="13"/>
  <c r="L40" i="13"/>
  <c r="H40" i="13"/>
  <c r="G40" i="13"/>
  <c r="F40" i="13"/>
  <c r="C40" i="13"/>
  <c r="M39" i="13"/>
  <c r="L39" i="13"/>
  <c r="I39" i="13"/>
  <c r="AB39" i="13" s="1"/>
  <c r="AB45" i="13" s="1"/>
  <c r="H39" i="13"/>
  <c r="G39" i="13"/>
  <c r="F39" i="13"/>
  <c r="C39" i="13"/>
  <c r="L38" i="13"/>
  <c r="H38" i="13"/>
  <c r="G38" i="13"/>
  <c r="F38" i="13"/>
  <c r="C38" i="13"/>
  <c r="M35" i="13"/>
  <c r="L35" i="13"/>
  <c r="J35" i="13"/>
  <c r="I35" i="13"/>
  <c r="H35" i="13"/>
  <c r="M34" i="13"/>
  <c r="L34" i="13"/>
  <c r="N34" i="13" s="1"/>
  <c r="J34" i="13"/>
  <c r="I34" i="13"/>
  <c r="H34" i="13"/>
  <c r="N33" i="13"/>
  <c r="M33" i="13"/>
  <c r="L33" i="13"/>
  <c r="J33" i="13"/>
  <c r="I33" i="13"/>
  <c r="H33" i="13"/>
  <c r="M32" i="13"/>
  <c r="N32" i="13" s="1"/>
  <c r="L32" i="13"/>
  <c r="J32" i="13"/>
  <c r="I32" i="13"/>
  <c r="H32" i="13"/>
  <c r="M30" i="13"/>
  <c r="L30" i="13"/>
  <c r="N30" i="13" s="1"/>
  <c r="J30" i="13"/>
  <c r="I30" i="13"/>
  <c r="H30" i="13"/>
  <c r="M29" i="13"/>
  <c r="L29" i="13"/>
  <c r="J29" i="13"/>
  <c r="I29" i="13"/>
  <c r="H29" i="13"/>
  <c r="M28" i="13"/>
  <c r="N28" i="13" s="1"/>
  <c r="L28" i="13"/>
  <c r="J28" i="13"/>
  <c r="I28" i="13"/>
  <c r="H28" i="13"/>
  <c r="M27" i="13"/>
  <c r="N27" i="13" s="1"/>
  <c r="L27" i="13"/>
  <c r="J27" i="13"/>
  <c r="I27" i="13"/>
  <c r="H27" i="13"/>
  <c r="M26" i="13"/>
  <c r="L26" i="13"/>
  <c r="J26" i="13"/>
  <c r="I26" i="13"/>
  <c r="H26" i="13"/>
  <c r="M25" i="13"/>
  <c r="L25" i="13"/>
  <c r="J25" i="13"/>
  <c r="I25" i="13"/>
  <c r="H25" i="13"/>
  <c r="N24" i="13"/>
  <c r="M24" i="13"/>
  <c r="L24" i="13"/>
  <c r="J24" i="13"/>
  <c r="I24" i="13"/>
  <c r="H24" i="13"/>
  <c r="M23" i="13"/>
  <c r="N23" i="13" s="1"/>
  <c r="L23" i="13"/>
  <c r="J23" i="13"/>
  <c r="I23" i="13"/>
  <c r="H23" i="13"/>
  <c r="M22" i="13"/>
  <c r="L22" i="13"/>
  <c r="J22" i="13"/>
  <c r="I22" i="13"/>
  <c r="H22" i="13"/>
  <c r="M21" i="13"/>
  <c r="L21" i="13"/>
  <c r="J21" i="13"/>
  <c r="I21" i="13"/>
  <c r="H21" i="13"/>
  <c r="M20" i="13"/>
  <c r="N20" i="13" s="1"/>
  <c r="L20" i="13"/>
  <c r="J20" i="13"/>
  <c r="I20" i="13"/>
  <c r="H20" i="13"/>
  <c r="C15" i="13"/>
  <c r="L13" i="13"/>
  <c r="H13" i="13"/>
  <c r="G13" i="13"/>
  <c r="F13" i="13"/>
  <c r="F16" i="13" s="1"/>
  <c r="AC11" i="13"/>
  <c r="AB11" i="13"/>
  <c r="AA11" i="13"/>
  <c r="J11" i="13"/>
  <c r="AA10" i="13"/>
  <c r="M8" i="13"/>
  <c r="L8" i="13"/>
  <c r="K8" i="13"/>
  <c r="J8" i="13"/>
  <c r="I8" i="13"/>
  <c r="H8" i="13"/>
  <c r="G8" i="13"/>
  <c r="CM19" i="5"/>
  <c r="CL19" i="5"/>
  <c r="CI19" i="5"/>
  <c r="BA19" i="5"/>
  <c r="AZ19" i="5"/>
  <c r="AY19" i="5"/>
  <c r="AX19" i="5"/>
  <c r="AW19" i="5"/>
  <c r="AV19" i="5"/>
  <c r="AU19" i="5"/>
  <c r="AT19" i="5"/>
  <c r="AS19" i="5"/>
  <c r="CM18" i="5"/>
  <c r="CL18" i="5"/>
  <c r="CI18" i="5"/>
  <c r="BJ18" i="5"/>
  <c r="BJ19" i="5" s="1"/>
  <c r="BB18" i="5"/>
  <c r="BB19" i="5" s="1"/>
  <c r="BA18" i="5"/>
  <c r="AZ18" i="5"/>
  <c r="AY18" i="5"/>
  <c r="AX18" i="5"/>
  <c r="AW18" i="5"/>
  <c r="AV18" i="5"/>
  <c r="AU18" i="5"/>
  <c r="AT18" i="5"/>
  <c r="AS18" i="5"/>
  <c r="A9" i="10"/>
  <c r="E6" i="10"/>
  <c r="D6" i="10"/>
  <c r="G5" i="10"/>
  <c r="E5" i="10"/>
  <c r="H5" i="10" s="1"/>
  <c r="I4" i="10"/>
  <c r="E4" i="10"/>
  <c r="E7" i="10" s="1"/>
  <c r="D4" i="10"/>
  <c r="K2" i="10"/>
  <c r="J2" i="10"/>
  <c r="I2" i="10"/>
  <c r="H2" i="10"/>
  <c r="G2" i="10"/>
  <c r="F2" i="10"/>
  <c r="E2" i="10"/>
  <c r="G12" i="12"/>
  <c r="G13" i="12" s="1"/>
  <c r="F12" i="12"/>
  <c r="I11" i="12"/>
  <c r="G11" i="12"/>
  <c r="K10" i="12"/>
  <c r="G10" i="12"/>
  <c r="F10" i="12"/>
  <c r="C80" i="12"/>
  <c r="J79" i="12"/>
  <c r="J78" i="12"/>
  <c r="J77" i="12"/>
  <c r="C75" i="12"/>
  <c r="J74" i="12"/>
  <c r="I74" i="12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G40" i="12"/>
  <c r="F40" i="12"/>
  <c r="C40" i="12"/>
  <c r="M39" i="12"/>
  <c r="L39" i="12"/>
  <c r="I39" i="12"/>
  <c r="AB39" i="12" s="1"/>
  <c r="AB45" i="12" s="1"/>
  <c r="H39" i="12"/>
  <c r="G39" i="12"/>
  <c r="AA39" i="12" s="1"/>
  <c r="F39" i="12"/>
  <c r="C39" i="12"/>
  <c r="G38" i="12"/>
  <c r="F38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J33" i="12"/>
  <c r="I33" i="12"/>
  <c r="H33" i="12"/>
  <c r="M32" i="12"/>
  <c r="N32" i="12" s="1"/>
  <c r="L32" i="12"/>
  <c r="J32" i="12"/>
  <c r="I32" i="12"/>
  <c r="H32" i="12"/>
  <c r="M30" i="12"/>
  <c r="L30" i="12"/>
  <c r="J30" i="12"/>
  <c r="I30" i="12"/>
  <c r="H30" i="12"/>
  <c r="M29" i="12"/>
  <c r="L29" i="12"/>
  <c r="J29" i="12"/>
  <c r="I29" i="12"/>
  <c r="H29" i="12"/>
  <c r="M28" i="12"/>
  <c r="L28" i="12"/>
  <c r="N28" i="12" s="1"/>
  <c r="J28" i="12"/>
  <c r="I28" i="12"/>
  <c r="H28" i="12"/>
  <c r="M27" i="12"/>
  <c r="L27" i="12"/>
  <c r="J27" i="12"/>
  <c r="I27" i="12"/>
  <c r="H27" i="12"/>
  <c r="M26" i="12"/>
  <c r="L26" i="12"/>
  <c r="J26" i="12"/>
  <c r="I26" i="12"/>
  <c r="H26" i="12"/>
  <c r="M25" i="12"/>
  <c r="L25" i="12"/>
  <c r="J25" i="12"/>
  <c r="I25" i="12"/>
  <c r="H25" i="12"/>
  <c r="M24" i="12"/>
  <c r="L24" i="12"/>
  <c r="J24" i="12"/>
  <c r="I24" i="12"/>
  <c r="H24" i="12"/>
  <c r="M23" i="12"/>
  <c r="N23" i="12" s="1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N20" i="12" s="1"/>
  <c r="J20" i="12"/>
  <c r="I20" i="12"/>
  <c r="H20" i="12"/>
  <c r="C15" i="12"/>
  <c r="F13" i="12"/>
  <c r="F16" i="12" s="1"/>
  <c r="AC11" i="12"/>
  <c r="AB11" i="12"/>
  <c r="AA11" i="12"/>
  <c r="J11" i="12"/>
  <c r="AA10" i="12"/>
  <c r="M8" i="12"/>
  <c r="L8" i="12"/>
  <c r="K8" i="12"/>
  <c r="J8" i="12"/>
  <c r="I8" i="12"/>
  <c r="H8" i="12"/>
  <c r="G8" i="12"/>
  <c r="CM17" i="5"/>
  <c r="CL17" i="5"/>
  <c r="BA17" i="5"/>
  <c r="AZ17" i="5"/>
  <c r="AY17" i="5"/>
  <c r="AX17" i="5"/>
  <c r="AW17" i="5"/>
  <c r="AV17" i="5"/>
  <c r="AU17" i="5"/>
  <c r="AT17" i="5"/>
  <c r="AS17" i="5"/>
  <c r="CM16" i="5"/>
  <c r="CL16" i="5"/>
  <c r="CI16" i="5"/>
  <c r="CI17" i="5" s="1"/>
  <c r="BA16" i="5"/>
  <c r="AZ16" i="5"/>
  <c r="AY16" i="5"/>
  <c r="AX16" i="5"/>
  <c r="AW16" i="5"/>
  <c r="AV16" i="5"/>
  <c r="AU16" i="5"/>
  <c r="AT16" i="5"/>
  <c r="AS16" i="5"/>
  <c r="CN3" i="5"/>
  <c r="CN4" i="5"/>
  <c r="CN5" i="5"/>
  <c r="CN6" i="5"/>
  <c r="CN7" i="5"/>
  <c r="CN8" i="5"/>
  <c r="CN9" i="5"/>
  <c r="CN10" i="5"/>
  <c r="CN11" i="5"/>
  <c r="CN12" i="5"/>
  <c r="CN13" i="5"/>
  <c r="CN2" i="5"/>
  <c r="CM3" i="5"/>
  <c r="CM4" i="5"/>
  <c r="CM5" i="5"/>
  <c r="CM6" i="5"/>
  <c r="CM7" i="5"/>
  <c r="CM8" i="5"/>
  <c r="CM9" i="5"/>
  <c r="CM10" i="5"/>
  <c r="CM11" i="5"/>
  <c r="CM12" i="5"/>
  <c r="CM13" i="5"/>
  <c r="CM2" i="5"/>
  <c r="CL3" i="5"/>
  <c r="CL4" i="5"/>
  <c r="CL5" i="5"/>
  <c r="CL6" i="5"/>
  <c r="CL7" i="5"/>
  <c r="CL8" i="5"/>
  <c r="CL9" i="5"/>
  <c r="CL10" i="5"/>
  <c r="CL11" i="5"/>
  <c r="CL12" i="5"/>
  <c r="CL13" i="5"/>
  <c r="CL2" i="5"/>
  <c r="CK3" i="5"/>
  <c r="CK4" i="5"/>
  <c r="CK5" i="5"/>
  <c r="CK6" i="5"/>
  <c r="CK7" i="5"/>
  <c r="CK8" i="5"/>
  <c r="CK18" i="5" s="1"/>
  <c r="CK19" i="5" s="1"/>
  <c r="M12" i="13" s="1"/>
  <c r="CK9" i="5"/>
  <c r="CK10" i="5"/>
  <c r="CK11" i="5"/>
  <c r="CK12" i="5"/>
  <c r="CK13" i="5"/>
  <c r="CK2" i="5"/>
  <c r="CJ3" i="5"/>
  <c r="CJ5" i="5"/>
  <c r="CJ6" i="5"/>
  <c r="CJ7" i="5"/>
  <c r="CJ8" i="5"/>
  <c r="CJ12" i="5"/>
  <c r="CJ2" i="5"/>
  <c r="CI3" i="5"/>
  <c r="CI4" i="5"/>
  <c r="CI5" i="5"/>
  <c r="CI6" i="5"/>
  <c r="CI7" i="5"/>
  <c r="CI8" i="5"/>
  <c r="CI9" i="5"/>
  <c r="CI10" i="5"/>
  <c r="CI11" i="5"/>
  <c r="CI12" i="5"/>
  <c r="CI13" i="5"/>
  <c r="CI2" i="5"/>
  <c r="CH3" i="5"/>
  <c r="CH5" i="5"/>
  <c r="CH6" i="5"/>
  <c r="CH7" i="5"/>
  <c r="CH8" i="5"/>
  <c r="CH12" i="5"/>
  <c r="CH2" i="5"/>
  <c r="CG3" i="5"/>
  <c r="CG4" i="5"/>
  <c r="CG5" i="5"/>
  <c r="CG6" i="5"/>
  <c r="CG7" i="5"/>
  <c r="CG8" i="5"/>
  <c r="CG9" i="5"/>
  <c r="CG10" i="5"/>
  <c r="CG11" i="5"/>
  <c r="CG12" i="5"/>
  <c r="CG2" i="5"/>
  <c r="CF3" i="5"/>
  <c r="CF4" i="5"/>
  <c r="CF5" i="5"/>
  <c r="CF6" i="5"/>
  <c r="CF7" i="5"/>
  <c r="CF8" i="5"/>
  <c r="CF18" i="5" s="1"/>
  <c r="CF19" i="5" s="1"/>
  <c r="CF9" i="5"/>
  <c r="CF10" i="5"/>
  <c r="CF11" i="5"/>
  <c r="CF12" i="5"/>
  <c r="CF13" i="5"/>
  <c r="CF2" i="5"/>
  <c r="CE3" i="5"/>
  <c r="CE4" i="5"/>
  <c r="CE5" i="5"/>
  <c r="CE6" i="5"/>
  <c r="CE7" i="5"/>
  <c r="CE8" i="5"/>
  <c r="CE18" i="5" s="1"/>
  <c r="CE19" i="5" s="1"/>
  <c r="CE9" i="5"/>
  <c r="CE10" i="5"/>
  <c r="CE11" i="5"/>
  <c r="CE12" i="5"/>
  <c r="CE13" i="5"/>
  <c r="CE2" i="5"/>
  <c r="CD3" i="5"/>
  <c r="CD4" i="5"/>
  <c r="CD5" i="5"/>
  <c r="CD6" i="5"/>
  <c r="CD7" i="5"/>
  <c r="CD8" i="5"/>
  <c r="CD18" i="5" s="1"/>
  <c r="CD19" i="5" s="1"/>
  <c r="CD9" i="5"/>
  <c r="CD10" i="5"/>
  <c r="CD11" i="5"/>
  <c r="CD12" i="5"/>
  <c r="CD13" i="5"/>
  <c r="CD2" i="5"/>
  <c r="CC3" i="5"/>
  <c r="CC4" i="5"/>
  <c r="CC5" i="5"/>
  <c r="CC6" i="5"/>
  <c r="CC7" i="5"/>
  <c r="CC8" i="5"/>
  <c r="CC18" i="5" s="1"/>
  <c r="CC19" i="5" s="1"/>
  <c r="CC9" i="5"/>
  <c r="CC10" i="5"/>
  <c r="CC11" i="5"/>
  <c r="CC12" i="5"/>
  <c r="CC13" i="5"/>
  <c r="CC2" i="5"/>
  <c r="CA3" i="5"/>
  <c r="CA4" i="5"/>
  <c r="CA5" i="5"/>
  <c r="CA6" i="5"/>
  <c r="CA7" i="5"/>
  <c r="CA8" i="5"/>
  <c r="CA9" i="5"/>
  <c r="CA10" i="5"/>
  <c r="CA11" i="5"/>
  <c r="CA12" i="5"/>
  <c r="CA18" i="5" s="1"/>
  <c r="CA19" i="5" s="1"/>
  <c r="CA13" i="5"/>
  <c r="CA2" i="5"/>
  <c r="BZ3" i="5"/>
  <c r="BZ5" i="5"/>
  <c r="BZ6" i="5"/>
  <c r="BZ7" i="5"/>
  <c r="BZ8" i="5"/>
  <c r="BZ11" i="5"/>
  <c r="BZ12" i="5"/>
  <c r="BZ2" i="5"/>
  <c r="BY3" i="5"/>
  <c r="BY4" i="5"/>
  <c r="BY5" i="5"/>
  <c r="BY6" i="5"/>
  <c r="BY7" i="5"/>
  <c r="BY8" i="5"/>
  <c r="BY9" i="5"/>
  <c r="BY10" i="5"/>
  <c r="BY11" i="5"/>
  <c r="BY12" i="5"/>
  <c r="BY13" i="5"/>
  <c r="BY2" i="5"/>
  <c r="BX3" i="5"/>
  <c r="BX5" i="5"/>
  <c r="BX6" i="5"/>
  <c r="BX7" i="5"/>
  <c r="BX8" i="5"/>
  <c r="BX12" i="5"/>
  <c r="BX2" i="5"/>
  <c r="BW3" i="5"/>
  <c r="BW4" i="5"/>
  <c r="BW5" i="5"/>
  <c r="BW6" i="5"/>
  <c r="BW7" i="5"/>
  <c r="BW8" i="5"/>
  <c r="BW18" i="5" s="1"/>
  <c r="BW19" i="5" s="1"/>
  <c r="BW9" i="5"/>
  <c r="BW10" i="5"/>
  <c r="BW11" i="5"/>
  <c r="BW12" i="5"/>
  <c r="BW13" i="5"/>
  <c r="BW2" i="5"/>
  <c r="BV3" i="5"/>
  <c r="BV4" i="5"/>
  <c r="BV5" i="5"/>
  <c r="BV6" i="5"/>
  <c r="BV7" i="5"/>
  <c r="BV8" i="5"/>
  <c r="BV18" i="5" s="1"/>
  <c r="BV19" i="5" s="1"/>
  <c r="BV9" i="5"/>
  <c r="BV10" i="5"/>
  <c r="BV11" i="5"/>
  <c r="BV12" i="5"/>
  <c r="BV13" i="5"/>
  <c r="BV2" i="5"/>
  <c r="BU3" i="5"/>
  <c r="BU4" i="5"/>
  <c r="BU5" i="5"/>
  <c r="BU6" i="5"/>
  <c r="BU7" i="5"/>
  <c r="BU8" i="5"/>
  <c r="BU18" i="5" s="1"/>
  <c r="BU19" i="5" s="1"/>
  <c r="BU9" i="5"/>
  <c r="BU10" i="5"/>
  <c r="BU11" i="5"/>
  <c r="BU12" i="5"/>
  <c r="BU13" i="5"/>
  <c r="BU2" i="5"/>
  <c r="BT3" i="5"/>
  <c r="BT4" i="5"/>
  <c r="BT5" i="5"/>
  <c r="BT6" i="5"/>
  <c r="BT7" i="5"/>
  <c r="BT8" i="5"/>
  <c r="BT18" i="5" s="1"/>
  <c r="BT19" i="5" s="1"/>
  <c r="BT9" i="5"/>
  <c r="BT10" i="5"/>
  <c r="BT11" i="5"/>
  <c r="BT12" i="5"/>
  <c r="BT13" i="5"/>
  <c r="BT2" i="5"/>
  <c r="BS3" i="5"/>
  <c r="BS4" i="5"/>
  <c r="BS5" i="5"/>
  <c r="BS6" i="5"/>
  <c r="BS7" i="5"/>
  <c r="BS8" i="5"/>
  <c r="BS9" i="5"/>
  <c r="BS10" i="5"/>
  <c r="BS11" i="5"/>
  <c r="BS12" i="5"/>
  <c r="BS18" i="5" s="1"/>
  <c r="BS19" i="5" s="1"/>
  <c r="BS13" i="5"/>
  <c r="BS2" i="5"/>
  <c r="BR3" i="5"/>
  <c r="BR4" i="5"/>
  <c r="BR5" i="5"/>
  <c r="BR6" i="5"/>
  <c r="BR7" i="5"/>
  <c r="BR8" i="5"/>
  <c r="BR9" i="5"/>
  <c r="BR18" i="5" s="1"/>
  <c r="BR19" i="5" s="1"/>
  <c r="BR10" i="5"/>
  <c r="BR11" i="5"/>
  <c r="BR12" i="5"/>
  <c r="BR13" i="5"/>
  <c r="BR2" i="5"/>
  <c r="BR16" i="5" s="1"/>
  <c r="BR17" i="5" s="1"/>
  <c r="BQ3" i="5"/>
  <c r="BQ4" i="5"/>
  <c r="BQ5" i="5"/>
  <c r="BQ6" i="5"/>
  <c r="BQ7" i="5"/>
  <c r="BQ8" i="5"/>
  <c r="BQ18" i="5" s="1"/>
  <c r="BQ19" i="5" s="1"/>
  <c r="BQ9" i="5"/>
  <c r="BQ10" i="5"/>
  <c r="BQ11" i="5"/>
  <c r="BQ12" i="5"/>
  <c r="BQ13" i="5"/>
  <c r="BQ2" i="5"/>
  <c r="BP3" i="5"/>
  <c r="CB3" i="5" s="1"/>
  <c r="BP4" i="5"/>
  <c r="CB4" i="5" s="1"/>
  <c r="BP5" i="5"/>
  <c r="BP6" i="5"/>
  <c r="BP7" i="5"/>
  <c r="BP8" i="5"/>
  <c r="CB8" i="5" s="1"/>
  <c r="BP9" i="5"/>
  <c r="CB9" i="5" s="1"/>
  <c r="BP10" i="5"/>
  <c r="BP11" i="5"/>
  <c r="CB11" i="5" s="1"/>
  <c r="BP12" i="5"/>
  <c r="CB12" i="5" s="1"/>
  <c r="BP13" i="5"/>
  <c r="BP2" i="5"/>
  <c r="BO3" i="5"/>
  <c r="BO4" i="5"/>
  <c r="BO5" i="5"/>
  <c r="BO6" i="5"/>
  <c r="BO7" i="5"/>
  <c r="BO8" i="5"/>
  <c r="BO18" i="5" s="1"/>
  <c r="BO19" i="5" s="1"/>
  <c r="BO9" i="5"/>
  <c r="BO10" i="5"/>
  <c r="BO11" i="5"/>
  <c r="BO12" i="5"/>
  <c r="BO13" i="5"/>
  <c r="BO2" i="5"/>
  <c r="BN3" i="5"/>
  <c r="BN4" i="5"/>
  <c r="BZ4" i="5" s="1"/>
  <c r="BZ16" i="5" s="1"/>
  <c r="BZ17" i="5" s="1"/>
  <c r="BN5" i="5"/>
  <c r="BN6" i="5"/>
  <c r="BN7" i="5"/>
  <c r="BN8" i="5"/>
  <c r="BN18" i="5" s="1"/>
  <c r="BN19" i="5" s="1"/>
  <c r="BN9" i="5"/>
  <c r="BZ9" i="5" s="1"/>
  <c r="BN10" i="5"/>
  <c r="BN11" i="5"/>
  <c r="BN12" i="5"/>
  <c r="BN13" i="5"/>
  <c r="BN2" i="5"/>
  <c r="BN16" i="5" s="1"/>
  <c r="BN17" i="5" s="1"/>
  <c r="BM3" i="5"/>
  <c r="BM4" i="5"/>
  <c r="BM5" i="5"/>
  <c r="BM6" i="5"/>
  <c r="BM7" i="5"/>
  <c r="BM8" i="5"/>
  <c r="BM18" i="5" s="1"/>
  <c r="BM19" i="5" s="1"/>
  <c r="I12" i="13" s="1"/>
  <c r="BM9" i="5"/>
  <c r="BM10" i="5"/>
  <c r="BM11" i="5"/>
  <c r="BM12" i="5"/>
  <c r="BM13" i="5"/>
  <c r="BM2" i="5"/>
  <c r="BL3" i="5"/>
  <c r="BL5" i="5"/>
  <c r="BL6" i="5"/>
  <c r="BL7" i="5"/>
  <c r="BL8" i="5"/>
  <c r="BL12" i="5"/>
  <c r="BL2" i="5"/>
  <c r="BK3" i="5"/>
  <c r="BK4" i="5"/>
  <c r="BK5" i="5"/>
  <c r="BK6" i="5"/>
  <c r="BK7" i="5"/>
  <c r="BK8" i="5"/>
  <c r="BK9" i="5"/>
  <c r="BK18" i="5" s="1"/>
  <c r="BK19" i="5" s="1"/>
  <c r="BK10" i="5"/>
  <c r="BK11" i="5"/>
  <c r="BK12" i="5"/>
  <c r="BK13" i="5"/>
  <c r="BK2" i="5"/>
  <c r="BK16" i="5" s="1"/>
  <c r="BK17" i="5" s="1"/>
  <c r="BJ3" i="5"/>
  <c r="BJ4" i="5"/>
  <c r="BJ5" i="5"/>
  <c r="BJ6" i="5"/>
  <c r="BJ7" i="5"/>
  <c r="BJ8" i="5"/>
  <c r="BJ9" i="5"/>
  <c r="BJ10" i="5"/>
  <c r="BJ11" i="5"/>
  <c r="BJ12" i="5"/>
  <c r="BJ13" i="5"/>
  <c r="BJ2" i="5"/>
  <c r="BJ16" i="5" s="1"/>
  <c r="BJ17" i="5" s="1"/>
  <c r="BI3" i="5"/>
  <c r="BI4" i="5"/>
  <c r="BI5" i="5"/>
  <c r="BI6" i="5"/>
  <c r="BI7" i="5"/>
  <c r="BI8" i="5"/>
  <c r="BI18" i="5" s="1"/>
  <c r="BI19" i="5" s="1"/>
  <c r="BI9" i="5"/>
  <c r="BI10" i="5"/>
  <c r="BI11" i="5"/>
  <c r="BI12" i="5"/>
  <c r="BI13" i="5"/>
  <c r="BI2" i="5"/>
  <c r="BH3" i="5"/>
  <c r="BH4" i="5"/>
  <c r="BH5" i="5"/>
  <c r="BH6" i="5"/>
  <c r="BH7" i="5"/>
  <c r="BH8" i="5"/>
  <c r="BH18" i="5" s="1"/>
  <c r="BH19" i="5" s="1"/>
  <c r="BH9" i="5"/>
  <c r="BH10" i="5"/>
  <c r="BH11" i="5"/>
  <c r="BH12" i="5"/>
  <c r="BH13" i="5"/>
  <c r="BH2" i="5"/>
  <c r="BH16" i="5" s="1"/>
  <c r="BH17" i="5" s="1"/>
  <c r="BG3" i="5"/>
  <c r="BG4" i="5"/>
  <c r="BG5" i="5"/>
  <c r="BG6" i="5"/>
  <c r="BG7" i="5"/>
  <c r="BG8" i="5"/>
  <c r="BG18" i="5" s="1"/>
  <c r="BG19" i="5" s="1"/>
  <c r="BG9" i="5"/>
  <c r="BG10" i="5"/>
  <c r="BG11" i="5"/>
  <c r="BG12" i="5"/>
  <c r="BG13" i="5"/>
  <c r="BG2" i="5"/>
  <c r="BF3" i="5"/>
  <c r="BF4" i="5"/>
  <c r="BF5" i="5"/>
  <c r="BF6" i="5"/>
  <c r="BF7" i="5"/>
  <c r="BF8" i="5"/>
  <c r="BF18" i="5" s="1"/>
  <c r="BF19" i="5" s="1"/>
  <c r="BF9" i="5"/>
  <c r="BF10" i="5"/>
  <c r="BF11" i="5"/>
  <c r="BF12" i="5"/>
  <c r="BF13" i="5"/>
  <c r="BF2" i="5"/>
  <c r="BF16" i="5" s="1"/>
  <c r="BF17" i="5" s="1"/>
  <c r="BE3" i="5"/>
  <c r="BE4" i="5"/>
  <c r="BE5" i="5"/>
  <c r="BE6" i="5"/>
  <c r="BE7" i="5"/>
  <c r="BE8" i="5"/>
  <c r="BE18" i="5" s="1"/>
  <c r="BE19" i="5" s="1"/>
  <c r="BE9" i="5"/>
  <c r="BE10" i="5"/>
  <c r="BE11" i="5"/>
  <c r="BE12" i="5"/>
  <c r="BE13" i="5"/>
  <c r="BE2" i="5"/>
  <c r="BD3" i="5"/>
  <c r="BD4" i="5"/>
  <c r="BD5" i="5"/>
  <c r="BD6" i="5"/>
  <c r="BD7" i="5"/>
  <c r="BD8" i="5"/>
  <c r="BD18" i="5" s="1"/>
  <c r="BD19" i="5" s="1"/>
  <c r="BD9" i="5"/>
  <c r="BD10" i="5"/>
  <c r="CB10" i="5" s="1"/>
  <c r="BD11" i="5"/>
  <c r="BD12" i="5"/>
  <c r="BD13" i="5"/>
  <c r="BD2" i="5"/>
  <c r="BD16" i="5" s="1"/>
  <c r="BD17" i="5" s="1"/>
  <c r="BC3" i="5"/>
  <c r="BC4" i="5"/>
  <c r="BC5" i="5"/>
  <c r="BC6" i="5"/>
  <c r="BC7" i="5"/>
  <c r="BC8" i="5"/>
  <c r="BC9" i="5"/>
  <c r="BC18" i="5" s="1"/>
  <c r="BC19" i="5" s="1"/>
  <c r="BC10" i="5"/>
  <c r="BC11" i="5"/>
  <c r="BC12" i="5"/>
  <c r="BC13" i="5"/>
  <c r="BC2" i="5"/>
  <c r="BC16" i="5" s="1"/>
  <c r="BC17" i="5" s="1"/>
  <c r="BB3" i="5"/>
  <c r="BB4" i="5"/>
  <c r="BB5" i="5"/>
  <c r="BB6" i="5"/>
  <c r="BB7" i="5"/>
  <c r="BB8" i="5"/>
  <c r="BB9" i="5"/>
  <c r="BB10" i="5"/>
  <c r="BB11" i="5"/>
  <c r="BB12" i="5"/>
  <c r="BB13" i="5"/>
  <c r="BB2" i="5"/>
  <c r="BB16" i="5" s="1"/>
  <c r="BB17" i="5" s="1"/>
  <c r="H10" i="12" s="1"/>
  <c r="BA3" i="5"/>
  <c r="BA4" i="5"/>
  <c r="BA5" i="5"/>
  <c r="BA6" i="5"/>
  <c r="BA7" i="5"/>
  <c r="BA8" i="5"/>
  <c r="BA9" i="5"/>
  <c r="BA10" i="5"/>
  <c r="BA11" i="5"/>
  <c r="BA12" i="5"/>
  <c r="BA13" i="5"/>
  <c r="BA2" i="5"/>
  <c r="AZ3" i="5"/>
  <c r="AZ4" i="5"/>
  <c r="AZ5" i="5"/>
  <c r="AZ6" i="5"/>
  <c r="AZ7" i="5"/>
  <c r="AZ8" i="5"/>
  <c r="AZ9" i="5"/>
  <c r="AZ10" i="5"/>
  <c r="AZ11" i="5"/>
  <c r="AZ12" i="5"/>
  <c r="AZ13" i="5"/>
  <c r="AZ2" i="5"/>
  <c r="AY3" i="5"/>
  <c r="AY4" i="5"/>
  <c r="AY5" i="5"/>
  <c r="AY6" i="5"/>
  <c r="AY7" i="5"/>
  <c r="AY8" i="5"/>
  <c r="AY9" i="5"/>
  <c r="AY10" i="5"/>
  <c r="AY11" i="5"/>
  <c r="AY12" i="5"/>
  <c r="AY13" i="5"/>
  <c r="AY2" i="5"/>
  <c r="AX13" i="5"/>
  <c r="AX12" i="5"/>
  <c r="AX11" i="5"/>
  <c r="AX10" i="5"/>
  <c r="AX9" i="5"/>
  <c r="AX8" i="5"/>
  <c r="AX7" i="5"/>
  <c r="AX6" i="5"/>
  <c r="AX5" i="5"/>
  <c r="AX4" i="5"/>
  <c r="AX3" i="5"/>
  <c r="AX2" i="5"/>
  <c r="AW13" i="5"/>
  <c r="AW12" i="5"/>
  <c r="AW11" i="5"/>
  <c r="AW10" i="5"/>
  <c r="AW9" i="5"/>
  <c r="AW8" i="5"/>
  <c r="AW7" i="5"/>
  <c r="AW6" i="5"/>
  <c r="AW5" i="5"/>
  <c r="AW4" i="5"/>
  <c r="AW3" i="5"/>
  <c r="AW2" i="5"/>
  <c r="AV13" i="5"/>
  <c r="AV12" i="5"/>
  <c r="AV11" i="5"/>
  <c r="AV10" i="5"/>
  <c r="AV9" i="5"/>
  <c r="AV8" i="5"/>
  <c r="AV7" i="5"/>
  <c r="AV6" i="5"/>
  <c r="AV5" i="5"/>
  <c r="AV4" i="5"/>
  <c r="AV3" i="5"/>
  <c r="AV2" i="5"/>
  <c r="AU13" i="5"/>
  <c r="AU12" i="5"/>
  <c r="AU11" i="5"/>
  <c r="AU10" i="5"/>
  <c r="AU9" i="5"/>
  <c r="AU8" i="5"/>
  <c r="AU7" i="5"/>
  <c r="AU6" i="5"/>
  <c r="AU5" i="5"/>
  <c r="AU4" i="5"/>
  <c r="AU3" i="5"/>
  <c r="AU2" i="5"/>
  <c r="AT3" i="5"/>
  <c r="AT4" i="5"/>
  <c r="AT5" i="5"/>
  <c r="AT6" i="5"/>
  <c r="AT7" i="5"/>
  <c r="AT8" i="5"/>
  <c r="AT9" i="5"/>
  <c r="AT10" i="5"/>
  <c r="AT11" i="5"/>
  <c r="AT12" i="5"/>
  <c r="AT13" i="5"/>
  <c r="AT2" i="5"/>
  <c r="AS3" i="5"/>
  <c r="AS4" i="5"/>
  <c r="AS5" i="5"/>
  <c r="AS6" i="5"/>
  <c r="AS7" i="5"/>
  <c r="AS8" i="5"/>
  <c r="AS9" i="5"/>
  <c r="AS10" i="5"/>
  <c r="AS11" i="5"/>
  <c r="AS12" i="5"/>
  <c r="AS13" i="5"/>
  <c r="AS2" i="5"/>
  <c r="E27" i="7"/>
  <c r="N21" i="12" l="1"/>
  <c r="N29" i="12"/>
  <c r="BY18" i="5"/>
  <c r="BY19" i="5" s="1"/>
  <c r="N22" i="12"/>
  <c r="N30" i="12"/>
  <c r="N35" i="13"/>
  <c r="I40" i="13"/>
  <c r="J12" i="13"/>
  <c r="M40" i="13"/>
  <c r="N12" i="13"/>
  <c r="N24" i="12"/>
  <c r="N33" i="12"/>
  <c r="N22" i="13"/>
  <c r="N25" i="13"/>
  <c r="N21" i="13"/>
  <c r="G17" i="10"/>
  <c r="N26" i="13"/>
  <c r="N29" i="13"/>
  <c r="N39" i="13"/>
  <c r="K17" i="10"/>
  <c r="L17" i="10" s="1"/>
  <c r="N40" i="13"/>
  <c r="J39" i="13"/>
  <c r="L41" i="13"/>
  <c r="J40" i="13"/>
  <c r="AA39" i="13"/>
  <c r="AC39" i="13" s="1"/>
  <c r="F41" i="13"/>
  <c r="F43" i="13"/>
  <c r="H41" i="13"/>
  <c r="G41" i="13"/>
  <c r="H12" i="12"/>
  <c r="H13" i="12" s="1"/>
  <c r="F6" i="10"/>
  <c r="L10" i="12"/>
  <c r="J4" i="10"/>
  <c r="H38" i="12"/>
  <c r="BZ18" i="5"/>
  <c r="BZ19" i="5" s="1"/>
  <c r="CB7" i="5"/>
  <c r="BY16" i="5"/>
  <c r="BY17" i="5" s="1"/>
  <c r="N27" i="12"/>
  <c r="BP16" i="5"/>
  <c r="BP17" i="5" s="1"/>
  <c r="CB6" i="5"/>
  <c r="BT16" i="5"/>
  <c r="BT17" i="5" s="1"/>
  <c r="BV16" i="5"/>
  <c r="BV17" i="5" s="1"/>
  <c r="CD16" i="5"/>
  <c r="CD17" i="5" s="1"/>
  <c r="CF16" i="5"/>
  <c r="CF17" i="5" s="1"/>
  <c r="BS16" i="5"/>
  <c r="BS17" i="5" s="1"/>
  <c r="BE16" i="5"/>
  <c r="BE17" i="5" s="1"/>
  <c r="BG16" i="5"/>
  <c r="BG17" i="5" s="1"/>
  <c r="BI16" i="5"/>
  <c r="BI17" i="5" s="1"/>
  <c r="BZ13" i="5"/>
  <c r="CB13" i="5"/>
  <c r="CB18" i="5" s="1"/>
  <c r="CB19" i="5" s="1"/>
  <c r="CB5" i="5"/>
  <c r="CK16" i="5"/>
  <c r="CK17" i="5" s="1"/>
  <c r="N26" i="12"/>
  <c r="N35" i="12"/>
  <c r="F4" i="10"/>
  <c r="D7" i="10"/>
  <c r="D10" i="10" s="1"/>
  <c r="F52" i="13"/>
  <c r="F56" i="13" s="1"/>
  <c r="F60" i="13" s="1"/>
  <c r="AA38" i="13"/>
  <c r="CA16" i="5"/>
  <c r="CA17" i="5" s="1"/>
  <c r="BP18" i="5"/>
  <c r="BP19" i="5" s="1"/>
  <c r="BM16" i="5"/>
  <c r="BM17" i="5" s="1"/>
  <c r="BZ10" i="5"/>
  <c r="BO16" i="5"/>
  <c r="BO17" i="5" s="1"/>
  <c r="BQ16" i="5"/>
  <c r="BQ17" i="5" s="1"/>
  <c r="BU16" i="5"/>
  <c r="BU17" i="5" s="1"/>
  <c r="BW16" i="5"/>
  <c r="BW17" i="5" s="1"/>
  <c r="CC16" i="5"/>
  <c r="CC17" i="5" s="1"/>
  <c r="CE16" i="5"/>
  <c r="CE17" i="5" s="1"/>
  <c r="CG16" i="5"/>
  <c r="CG17" i="5" s="1"/>
  <c r="N25" i="12"/>
  <c r="N34" i="12"/>
  <c r="N39" i="12"/>
  <c r="G41" i="12"/>
  <c r="F41" i="12"/>
  <c r="F43" i="12" s="1"/>
  <c r="AC39" i="12"/>
  <c r="J39" i="12"/>
  <c r="BX11" i="5"/>
  <c r="AA45" i="12"/>
  <c r="AC45" i="12" s="1"/>
  <c r="F52" i="12"/>
  <c r="F56" i="12" s="1"/>
  <c r="F60" i="12" s="1"/>
  <c r="BL9" i="5"/>
  <c r="BL18" i="5" s="1"/>
  <c r="BL19" i="5" s="1"/>
  <c r="AA38" i="12"/>
  <c r="BX13" i="5"/>
  <c r="BL4" i="5"/>
  <c r="BL16" i="5" s="1"/>
  <c r="BL17" i="5" s="1"/>
  <c r="CB2" i="5"/>
  <c r="CB16" i="5" s="1"/>
  <c r="CB17" i="5" s="1"/>
  <c r="BX4" i="5"/>
  <c r="BX16" i="5" s="1"/>
  <c r="BX17" i="5" s="1"/>
  <c r="BX10" i="5"/>
  <c r="BX9" i="5"/>
  <c r="BX18" i="5" s="1"/>
  <c r="BX19" i="5" s="1"/>
  <c r="BL13" i="5"/>
  <c r="BL11" i="5"/>
  <c r="BL10" i="5"/>
  <c r="E51" i="9"/>
  <c r="BA29" i="5" l="1"/>
  <c r="BA27" i="5"/>
  <c r="I10" i="13"/>
  <c r="G15" i="10"/>
  <c r="H15" i="10" s="1"/>
  <c r="AX29" i="5"/>
  <c r="G18" i="10"/>
  <c r="H18" i="10" s="1"/>
  <c r="AX27" i="5"/>
  <c r="H17" i="10"/>
  <c r="AA45" i="13"/>
  <c r="AC45" i="13" s="1"/>
  <c r="F67" i="13"/>
  <c r="F44" i="13"/>
  <c r="G6" i="10"/>
  <c r="H6" i="10" s="1"/>
  <c r="I12" i="12"/>
  <c r="I40" i="12" s="1"/>
  <c r="F7" i="10"/>
  <c r="H40" i="12"/>
  <c r="G4" i="10"/>
  <c r="G7" i="10" s="1"/>
  <c r="H7" i="10" s="1"/>
  <c r="E9" i="10" s="1"/>
  <c r="I10" i="12"/>
  <c r="J6" i="10"/>
  <c r="L12" i="12"/>
  <c r="K6" i="10"/>
  <c r="M12" i="12"/>
  <c r="M40" i="12" s="1"/>
  <c r="J7" i="10"/>
  <c r="L13" i="12"/>
  <c r="L38" i="12"/>
  <c r="AA44" i="13"/>
  <c r="AA44" i="12"/>
  <c r="F67" i="12"/>
  <c r="F44" i="12"/>
  <c r="C12" i="7"/>
  <c r="C13" i="7"/>
  <c r="C14" i="7"/>
  <c r="M8" i="11" l="1"/>
  <c r="BA28" i="5"/>
  <c r="M10" i="11"/>
  <c r="BA30" i="5"/>
  <c r="M11" i="11" s="1"/>
  <c r="AX28" i="5"/>
  <c r="J8" i="11"/>
  <c r="G63" i="13"/>
  <c r="I63" i="13" s="1"/>
  <c r="G63" i="12"/>
  <c r="I63" i="12" s="1"/>
  <c r="F20" i="10"/>
  <c r="F21" i="10" s="1"/>
  <c r="E20" i="10"/>
  <c r="AX30" i="5"/>
  <c r="J11" i="11" s="1"/>
  <c r="J10" i="11"/>
  <c r="I38" i="13"/>
  <c r="J10" i="13"/>
  <c r="I13" i="13"/>
  <c r="J13" i="13" s="1"/>
  <c r="H4" i="10"/>
  <c r="H41" i="12"/>
  <c r="J40" i="12"/>
  <c r="F9" i="10"/>
  <c r="F10" i="10" s="1"/>
  <c r="L40" i="12"/>
  <c r="N40" i="12" s="1"/>
  <c r="N12" i="12"/>
  <c r="L6" i="10"/>
  <c r="I13" i="12"/>
  <c r="J13" i="12" s="1"/>
  <c r="I38" i="12"/>
  <c r="J10" i="12"/>
  <c r="F45" i="13"/>
  <c r="F75" i="13"/>
  <c r="F80" i="13" s="1"/>
  <c r="G9" i="10"/>
  <c r="G10" i="10" s="1"/>
  <c r="E10" i="10"/>
  <c r="J12" i="12"/>
  <c r="F45" i="12"/>
  <c r="F75" i="12"/>
  <c r="F80" i="12" s="1"/>
  <c r="D14" i="7"/>
  <c r="BA32" i="5" l="1"/>
  <c r="M9" i="11"/>
  <c r="G20" i="10"/>
  <c r="G21" i="10" s="1"/>
  <c r="E21" i="10"/>
  <c r="J38" i="13"/>
  <c r="J41" i="13" s="1"/>
  <c r="I41" i="13"/>
  <c r="I51" i="13" s="1"/>
  <c r="AX32" i="5"/>
  <c r="J9" i="11"/>
  <c r="H15" i="13"/>
  <c r="H16" i="13" s="1"/>
  <c r="G15" i="13"/>
  <c r="J38" i="12"/>
  <c r="J41" i="12" s="1"/>
  <c r="G51" i="12" s="1"/>
  <c r="I41" i="12"/>
  <c r="G15" i="12"/>
  <c r="H15" i="12"/>
  <c r="H16" i="12" s="1"/>
  <c r="H9" i="10"/>
  <c r="H10" i="10" s="1"/>
  <c r="L41" i="12"/>
  <c r="AB10" i="9"/>
  <c r="M13" i="11" l="1"/>
  <c r="BA42" i="5"/>
  <c r="M23" i="11" s="1"/>
  <c r="J13" i="11"/>
  <c r="AX42" i="5"/>
  <c r="J23" i="11" s="1"/>
  <c r="I52" i="13"/>
  <c r="I56" i="13" s="1"/>
  <c r="I60" i="13" s="1"/>
  <c r="I43" i="13"/>
  <c r="G51" i="13"/>
  <c r="H51" i="13"/>
  <c r="G16" i="13"/>
  <c r="I15" i="13"/>
  <c r="I16" i="13" s="1"/>
  <c r="H20" i="10"/>
  <c r="H21" i="10" s="1"/>
  <c r="H51" i="12"/>
  <c r="I51" i="12"/>
  <c r="G16" i="12"/>
  <c r="I15" i="12"/>
  <c r="I16" i="12" s="1"/>
  <c r="G52" i="12"/>
  <c r="G56" i="12" s="1"/>
  <c r="G60" i="12" s="1"/>
  <c r="G43" i="12"/>
  <c r="J51" i="12"/>
  <c r="J52" i="12" s="1"/>
  <c r="J56" i="12" s="1"/>
  <c r="J60" i="12" s="1"/>
  <c r="AA11" i="9"/>
  <c r="AC11" i="9"/>
  <c r="AA10" i="9"/>
  <c r="H43" i="13" l="1"/>
  <c r="H52" i="13"/>
  <c r="H56" i="13" s="1"/>
  <c r="H60" i="13" s="1"/>
  <c r="G43" i="13"/>
  <c r="G52" i="13"/>
  <c r="G56" i="13" s="1"/>
  <c r="G60" i="13" s="1"/>
  <c r="J51" i="13"/>
  <c r="J52" i="13" s="1"/>
  <c r="J56" i="13" s="1"/>
  <c r="J60" i="13" s="1"/>
  <c r="J43" i="13"/>
  <c r="K43" i="13" s="1"/>
  <c r="I44" i="13"/>
  <c r="I67" i="13"/>
  <c r="I45" i="13" s="1"/>
  <c r="J15" i="13"/>
  <c r="J16" i="13" s="1"/>
  <c r="J67" i="12"/>
  <c r="H52" i="12"/>
  <c r="H56" i="12" s="1"/>
  <c r="H60" i="12" s="1"/>
  <c r="H43" i="12"/>
  <c r="G44" i="12"/>
  <c r="G67" i="12"/>
  <c r="G45" i="12" s="1"/>
  <c r="J15" i="12"/>
  <c r="J16" i="12" s="1"/>
  <c r="I52" i="12"/>
  <c r="I56" i="12" s="1"/>
  <c r="I60" i="12" s="1"/>
  <c r="I43" i="12"/>
  <c r="AC10" i="9"/>
  <c r="J67" i="13" l="1"/>
  <c r="G44" i="13"/>
  <c r="G67" i="13"/>
  <c r="J43" i="12"/>
  <c r="K43" i="12" s="1"/>
  <c r="H44" i="13"/>
  <c r="H67" i="13"/>
  <c r="L16" i="13"/>
  <c r="J21" i="10"/>
  <c r="I67" i="12"/>
  <c r="I44" i="12"/>
  <c r="L16" i="12"/>
  <c r="J10" i="10"/>
  <c r="H44" i="12"/>
  <c r="H67" i="12"/>
  <c r="G72" i="12"/>
  <c r="H68" i="12"/>
  <c r="J68" i="12" s="1"/>
  <c r="O72" i="12"/>
  <c r="G73" i="12"/>
  <c r="I73" i="12" s="1"/>
  <c r="J73" i="12" s="1"/>
  <c r="M72" i="12"/>
  <c r="E73" i="9"/>
  <c r="E72" i="9"/>
  <c r="H45" i="13" l="1"/>
  <c r="G45" i="13"/>
  <c r="J45" i="13" s="1"/>
  <c r="K46" i="13" s="1"/>
  <c r="J44" i="13"/>
  <c r="K44" i="13" s="1"/>
  <c r="G72" i="13"/>
  <c r="G73" i="13"/>
  <c r="I73" i="13" s="1"/>
  <c r="J73" i="13" s="1"/>
  <c r="H68" i="13"/>
  <c r="J68" i="13" s="1"/>
  <c r="M72" i="13"/>
  <c r="O72" i="13"/>
  <c r="H45" i="12"/>
  <c r="H75" i="12"/>
  <c r="H80" i="12" s="1"/>
  <c r="J44" i="12"/>
  <c r="K44" i="12" s="1"/>
  <c r="G75" i="12"/>
  <c r="G80" i="12" s="1"/>
  <c r="I45" i="12"/>
  <c r="J79" i="9"/>
  <c r="J78" i="9"/>
  <c r="J77" i="9"/>
  <c r="G75" i="13" l="1"/>
  <c r="G80" i="13" s="1"/>
  <c r="H75" i="13"/>
  <c r="H80" i="13" s="1"/>
  <c r="K45" i="13"/>
  <c r="J45" i="12"/>
  <c r="H63" i="9"/>
  <c r="K45" i="12" l="1"/>
  <c r="K46" i="12"/>
  <c r="K8" i="9"/>
  <c r="I35" i="9" l="1"/>
  <c r="G63" i="9"/>
  <c r="I63" i="9" s="1"/>
  <c r="K50" i="9" l="1"/>
  <c r="G8" i="9" l="1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2" l="1"/>
  <c r="J72" i="12" s="1"/>
  <c r="I72" i="13"/>
  <c r="J72" i="13" s="1"/>
  <c r="M21" i="9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J30" i="9" s="1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CG13" i="5" s="1"/>
  <c r="CG18" i="5" s="1"/>
  <c r="CG19" i="5" s="1"/>
  <c r="E10" i="7"/>
  <c r="E9" i="7"/>
  <c r="E8" i="7"/>
  <c r="E7" i="7"/>
  <c r="E6" i="7"/>
  <c r="E5" i="7"/>
  <c r="C4" i="7"/>
  <c r="CH9" i="5" l="1"/>
  <c r="CH10" i="5"/>
  <c r="CJ10" i="5" s="1"/>
  <c r="CH11" i="5"/>
  <c r="CJ11" i="5" s="1"/>
  <c r="CH4" i="5"/>
  <c r="CH13" i="5"/>
  <c r="CJ13" i="5" s="1"/>
  <c r="F43" i="9"/>
  <c r="F44" i="9"/>
  <c r="C19" i="7"/>
  <c r="F4" i="7"/>
  <c r="J74" i="9"/>
  <c r="J41" i="9"/>
  <c r="G51" i="9" s="1"/>
  <c r="G43" i="9" s="1"/>
  <c r="E13" i="7"/>
  <c r="J16" i="9"/>
  <c r="L16" i="9" s="1"/>
  <c r="F67" i="9"/>
  <c r="F75" i="9" s="1"/>
  <c r="E4" i="7"/>
  <c r="E19" i="7" s="1"/>
  <c r="CJ9" i="5" l="1"/>
  <c r="CJ18" i="5" s="1"/>
  <c r="CJ19" i="5" s="1"/>
  <c r="CH18" i="5"/>
  <c r="CH19" i="5" s="1"/>
  <c r="CJ4" i="5"/>
  <c r="CJ16" i="5" s="1"/>
  <c r="CJ17" i="5" s="1"/>
  <c r="CH16" i="5"/>
  <c r="CH17" i="5" s="1"/>
  <c r="F80" i="9"/>
  <c r="F45" i="9"/>
  <c r="N22" i="9"/>
  <c r="N21" i="9"/>
  <c r="H51" i="9"/>
  <c r="H43" i="9" s="1"/>
  <c r="I51" i="9"/>
  <c r="I43" i="9" s="1"/>
  <c r="M10" i="13" l="1"/>
  <c r="K15" i="10"/>
  <c r="K4" i="10"/>
  <c r="M10" i="12"/>
  <c r="H52" i="9"/>
  <c r="H56" i="9" s="1"/>
  <c r="H60" i="9" s="1"/>
  <c r="H44" i="9" s="1"/>
  <c r="N20" i="9"/>
  <c r="G52" i="9"/>
  <c r="G56" i="9" s="1"/>
  <c r="G60" i="9" s="1"/>
  <c r="G44" i="9" s="1"/>
  <c r="J51" i="9"/>
  <c r="J52" i="9" s="1"/>
  <c r="J56" i="9" s="1"/>
  <c r="J60" i="9" s="1"/>
  <c r="I52" i="9"/>
  <c r="I56" i="9" s="1"/>
  <c r="I60" i="9" s="1"/>
  <c r="I44" i="9" s="1"/>
  <c r="K18" i="10" l="1"/>
  <c r="L15" i="10"/>
  <c r="L18" i="10" s="1"/>
  <c r="N10" i="13"/>
  <c r="N13" i="13" s="1"/>
  <c r="M13" i="13"/>
  <c r="M38" i="13"/>
  <c r="AB10" i="13"/>
  <c r="AC10" i="13" s="1"/>
  <c r="M13" i="12"/>
  <c r="M38" i="12"/>
  <c r="N10" i="12"/>
  <c r="N13" i="12" s="1"/>
  <c r="AB10" i="12"/>
  <c r="AC10" i="12" s="1"/>
  <c r="L4" i="10"/>
  <c r="L7" i="10" s="1"/>
  <c r="K7" i="10"/>
  <c r="N41" i="9"/>
  <c r="N38" i="9"/>
  <c r="J43" i="9"/>
  <c r="K43" i="9" s="1"/>
  <c r="I67" i="9"/>
  <c r="I45" i="9" s="1"/>
  <c r="M41" i="13" l="1"/>
  <c r="N38" i="13"/>
  <c r="AB38" i="13"/>
  <c r="M41" i="12"/>
  <c r="N38" i="12"/>
  <c r="AB38" i="12"/>
  <c r="J44" i="9"/>
  <c r="K44" i="9" s="1"/>
  <c r="AB44" i="13" l="1"/>
  <c r="AC44" i="13" s="1"/>
  <c r="AC38" i="13"/>
  <c r="N41" i="13"/>
  <c r="I69" i="13"/>
  <c r="AB44" i="12"/>
  <c r="AC44" i="12" s="1"/>
  <c r="AC38" i="12"/>
  <c r="N41" i="12"/>
  <c r="I69" i="12"/>
  <c r="J67" i="9"/>
  <c r="J69" i="13" l="1"/>
  <c r="J75" i="13" s="1"/>
  <c r="J80" i="13" s="1"/>
  <c r="I75" i="13"/>
  <c r="I80" i="13" s="1"/>
  <c r="J69" i="12"/>
  <c r="J75" i="12" s="1"/>
  <c r="J80" i="12" s="1"/>
  <c r="I75" i="12"/>
  <c r="I80" i="12" s="1"/>
  <c r="G73" i="9"/>
  <c r="G72" i="9"/>
  <c r="H68" i="9"/>
  <c r="J68" i="9" s="1"/>
  <c r="I69" i="9"/>
  <c r="H67" i="9"/>
  <c r="H45" i="9" s="1"/>
  <c r="G67" i="9"/>
  <c r="G45" i="9" s="1"/>
  <c r="H75" i="9" l="1"/>
  <c r="H80" i="9" s="1"/>
  <c r="G75" i="9"/>
  <c r="J69" i="9"/>
  <c r="J45" i="9" l="1"/>
  <c r="K45" i="9" s="1"/>
  <c r="I73" i="9"/>
  <c r="J73" i="9" s="1"/>
  <c r="O72" i="9"/>
  <c r="I72" i="9"/>
  <c r="M72" i="9"/>
  <c r="K46" i="9" l="1"/>
  <c r="I75" i="9"/>
  <c r="I80" i="9" s="1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5325184E-AC5D-4EDE-B9CD-9136C36C103B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3D911ACC-5B5B-499D-A4E7-60E37008F90B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7774610B-33C3-4A58-99F0-CEADB60B5955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8B07E670-C4A3-42B5-8C14-6C797D1870F9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94122B24-CD6F-46E2-932D-14C9B7C6C4DE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3AC2E0F6-16EF-4181-9BD4-CCB02BBFB23A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E9F824D1-E080-4AAD-8EB1-6EBAACEEBFC8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CD6A30BF-3206-4EAB-8E36-2F1FF1B6A79B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7F59F05-E45F-4DEC-87F2-EDF08A610746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339F6A6E-EDCF-478D-85D0-FDFD8B1088A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C151687D-0689-4DBC-A0DE-B91243C5B59F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EE2E8B61-7C9B-4E2E-9CED-DD21F3551E4D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8575D9C0-7EEB-4957-AE02-68BA4696E292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DB597688-36FF-436D-A569-FF6BC0CB15CF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A212E43B-CA19-48EA-A105-99652B244721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BBB470B7-2AD9-427A-80DA-56D40655D49E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6FF3F1C8-53E2-486E-AF2C-D2C5E64F1AD6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E38344DB-CD45-4AD2-B89D-2B053F01A64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D706919C-F1C6-4302-9F7C-4140AC4A4814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08157A8B-E970-477E-AD48-9150225ECC31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<sst xmlns="http://schemas.openxmlformats.org/spreadsheetml/2006/main" count="752" uniqueCount="300">
  <si>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</si>
  <si>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</si>
  <si>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</si>
  <si>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</si>
  <si>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</si>
  <si>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</si>
  <si>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</si>
  <si>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</si>
  <si>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</si>
  <si>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</si>
  <si>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</si>
  <si>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</si>
  <si>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</si>
  <si>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</si>
  <si>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</si>
  <si>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</si>
  <si>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</si>
  <si>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</si>
  <si>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</si>
  <si>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</si>
  <si>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</si>
  <si>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</si>
  <si>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</si>
  <si>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</si>
  <si>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</si>
  <si>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</si>
  <si>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</si>
  <si>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</si>
  <si>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</si>
  <si>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</si>
  <si>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</si>
  <si>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</si>
  <si>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</si>
  <si>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</si>
  <si>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</si>
  <si>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</si>
  <si>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</si>
  <si>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</si>
  <si>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</si>
  <si>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</si>
  <si>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</si>
  <si>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</si>
  <si>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</si>
  <si>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</si>
  <si>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</si>
  <si>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</si>
  <si>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</si>
  <si>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</si>
  <si>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</si>
  <si>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</si>
  <si>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</si>
  <si>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</si>
  <si>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</si>
  <si>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</si>
  <si>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</si>
  <si>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</si>
  <si>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</si>
  <si>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</si>
  <si>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</si>
  <si>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</si>
  <si>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</si>
  <si>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Elected Officials &amp; Commissioners</t>
  </si>
  <si>
    <t>PROGRAM MAINTENANCE</t>
  </si>
  <si>
    <t>Line Items:</t>
  </si>
  <si>
    <t>TOTAL REQUEST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</si>
  <si>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</si>
  <si>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</si>
  <si>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</si>
  <si>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</si>
  <si>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</si>
  <si>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</si>
  <si>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</si>
  <si>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</si>
  <si>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</si>
  <si>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</si>
  <si>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</si>
  <si>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</si>
  <si>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</si>
  <si>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</si>
  <si>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</si>
  <si>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</si>
  <si>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</si>
  <si>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</si>
  <si>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</si>
  <si>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</si>
  <si>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</si>
  <si>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</si>
  <si>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</si>
  <si>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</si>
  <si>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</si>
  <si>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</si>
  <si>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</si>
  <si>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</si>
  <si>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</si>
  <si>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</si>
  <si>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</si>
  <si>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</si>
  <si>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</si>
  <si>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</si>
  <si>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</si>
  <si>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</si>
  <si>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</si>
  <si>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</si>
  <si>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</si>
  <si>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</si>
  <si>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</si>
  <si>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</si>
  <si>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</si>
  <si>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</si>
  <si>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</si>
  <si>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</si>
  <si>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</si>
  <si>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</si>
  <si>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</si>
  <si>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</si>
  <si>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</si>
  <si>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Transfer between programs</t>
  </si>
  <si>
    <t>CEC for Temp/Group Positions</t>
  </si>
  <si>
    <t>School Rate (K12 only)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</si>
  <si>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</si>
  <si>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</si>
  <si>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</si>
  <si>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</si>
  <si>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</si>
  <si>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</si>
  <si>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</si>
  <si>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</si>
  <si>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</si>
  <si>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</si>
  <si>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</si>
  <si>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</si>
  <si>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</si>
  <si>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</si>
  <si>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</si>
  <si>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</si>
  <si>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</si>
  <si>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</si>
  <si>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</si>
  <si>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</si>
  <si>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</si>
  <si>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</si>
  <si>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</si>
  <si>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</si>
  <si>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</si>
  <si>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</si>
  <si>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</si>
  <si>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</si>
  <si>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</si>
  <si>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</si>
  <si>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</si>
  <si>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</si>
  <si>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</si>
  <si>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</si>
  <si>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</si>
  <si>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</si>
  <si>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</si>
  <si>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</si>
  <si>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</si>
  <si>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</si>
  <si>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</si>
  <si>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</si>
  <si>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</si>
  <si>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2023</t>
  </si>
  <si>
    <t>525</t>
  </si>
  <si>
    <t>0036</t>
  </si>
  <si>
    <t xml:space="preserve">OSB PROGRAM MRG     </t>
  </si>
  <si>
    <t>0001</t>
  </si>
  <si>
    <t>00</t>
  </si>
  <si>
    <t>EDAB</t>
  </si>
  <si>
    <t>001</t>
  </si>
  <si>
    <t>30326</t>
  </si>
  <si>
    <t>F</t>
  </si>
  <si>
    <t>NR</t>
  </si>
  <si>
    <t>RIVERA, MELISSA-JO A.</t>
  </si>
  <si>
    <t>RIVERA</t>
  </si>
  <si>
    <t>MELISSA-JO</t>
  </si>
  <si>
    <t>A</t>
  </si>
  <si>
    <t>00000</t>
  </si>
  <si>
    <t>H</t>
  </si>
  <si>
    <t>FS</t>
  </si>
  <si>
    <t>E</t>
  </si>
  <si>
    <t>N</t>
  </si>
  <si>
    <t>Y</t>
  </si>
  <si>
    <t xml:space="preserve">    </t>
  </si>
  <si>
    <t>0035</t>
  </si>
  <si>
    <t>DAWSON, JARED O.</t>
  </si>
  <si>
    <t>DAWSON</t>
  </si>
  <si>
    <t>JARED</t>
  </si>
  <si>
    <t>OLAND</t>
  </si>
  <si>
    <t>0020</t>
  </si>
  <si>
    <t xml:space="preserve">OSB DIRECTOR        </t>
  </si>
  <si>
    <t>31200</t>
  </si>
  <si>
    <t>THOMPSON, JENNIFER J.</t>
  </si>
  <si>
    <t>THOMPSON</t>
  </si>
  <si>
    <t>JENNIFER</t>
  </si>
  <si>
    <t>J</t>
  </si>
  <si>
    <t>9013</t>
  </si>
  <si>
    <t xml:space="preserve">CHARTER SCHOOL COMM </t>
  </si>
  <si>
    <t>31302</t>
  </si>
  <si>
    <t>NG</t>
  </si>
  <si>
    <t>0114</t>
  </si>
  <si>
    <t xml:space="preserve">ADMIN ASST 2        </t>
  </si>
  <si>
    <t>01231</t>
  </si>
  <si>
    <t>I</t>
  </si>
  <si>
    <t>D</t>
  </si>
  <si>
    <t>CR</t>
  </si>
  <si>
    <t>0040</t>
  </si>
  <si>
    <t xml:space="preserve">FINANCIAL MANAGER   </t>
  </si>
  <si>
    <t>04242</t>
  </si>
  <si>
    <t>SMITH, JACOB A.</t>
  </si>
  <si>
    <t>SMITH</t>
  </si>
  <si>
    <t>JACOB</t>
  </si>
  <si>
    <t>AARON</t>
  </si>
  <si>
    <t>0325</t>
  </si>
  <si>
    <t>33</t>
  </si>
  <si>
    <t>0005</t>
  </si>
  <si>
    <t xml:space="preserve">OFFICE SPECIALIST 2 </t>
  </si>
  <si>
    <t>01239</t>
  </si>
  <si>
    <t>G</t>
  </si>
  <si>
    <t>JOHNSON, SHERI L.</t>
  </si>
  <si>
    <t>JOHNSON</t>
  </si>
  <si>
    <t>SHERI</t>
  </si>
  <si>
    <t>LYNN</t>
  </si>
  <si>
    <t xml:space="preserve">HG   </t>
  </si>
  <si>
    <t>PT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</si>
  <si>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</si>
  <si>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</si>
  <si>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</si>
  <si>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</si>
  <si>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</si>
  <si>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</si>
  <si>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</si>
  <si>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</si>
  <si>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</si>
  <si>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</si>
  <si>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</si>
  <si>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</si>
  <si>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</si>
  <si>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</si>
  <si>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</si>
  <si>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</si>
  <si>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</si>
  <si>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</si>
  <si>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</si>
  <si>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</si>
  <si>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</si>
  <si>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</si>
  <si>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</si>
  <si>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</si>
  <si>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</si>
  <si>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</si>
  <si>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</si>
  <si>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</si>
  <si>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</si>
  <si>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</si>
  <si>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</si>
  <si>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</si>
  <si>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</si>
  <si>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</si>
  <si>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</si>
  <si>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</si>
  <si>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</si>
  <si>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</si>
  <si>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</si>
  <si>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</si>
  <si>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</si>
  <si>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</si>
  <si>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</si>
  <si>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</si>
  <si>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</si>
  <si>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</si>
  <si>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</si>
  <si>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</si>
  <si>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EDAB 0001-00</t>
  </si>
  <si>
    <t>EDAB 0001</t>
  </si>
  <si>
    <t>State Board of Education</t>
  </si>
  <si>
    <t>Charter School Commission</t>
  </si>
  <si>
    <t>General</t>
  </si>
  <si>
    <t>0001-00</t>
  </si>
  <si>
    <t>10000</t>
  </si>
  <si>
    <t>Charter School Commission, General   EDAB-0001-00</t>
  </si>
  <si>
    <t>EDAB 0325-33</t>
  </si>
  <si>
    <t>EDAB 0325</t>
  </si>
  <si>
    <t>Public Charter School Authorizers</t>
  </si>
  <si>
    <t>0325-33</t>
  </si>
  <si>
    <t>32533</t>
  </si>
  <si>
    <t>Charter School Commission, Public Charter School Authorizers   EDAB-0325-33</t>
  </si>
  <si>
    <t>Totals by Budget Unit and Fund</t>
  </si>
  <si>
    <t>Est. FY23_x000D_
Salary</t>
  </si>
  <si>
    <t>Proj. FY24_x000D_
Salary</t>
  </si>
  <si>
    <t>Actual FY 2022</t>
  </si>
  <si>
    <t>Estimate FY 2023</t>
  </si>
  <si>
    <t>Projection FY 2024</t>
  </si>
  <si>
    <t>Filled Permanent/Elected</t>
  </si>
  <si>
    <t>Fund-0001</t>
  </si>
  <si>
    <t>Fund-0325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</si>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</sst>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i/>
      <sz val="15"/>
      <color theme="1"/>
      <name val="Times New Roman"/>
      <family val="1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83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44" fillId="0" borderId="0" xfId="0" applyFont="1"/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5" fillId="14" borderId="17" xfId="0" applyFont="1" applyFill="1" applyBorder="1" applyAlignment="1">
      <alignment horizontal="center" vertical="top"/>
    </xf>
    <xf numFmtId="49" fontId="45" fillId="14" borderId="17" xfId="0" applyNumberFormat="1" applyFont="1" applyFill="1" applyBorder="1" applyAlignment="1">
      <alignment horizontal="center" vertical="top"/>
    </xf>
    <xf numFmtId="0" fontId="46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6" fillId="0" borderId="18" xfId="0" applyNumberFormat="1" applyFont="1" applyBorder="1" applyAlignment="1">
      <alignment vertical="top"/>
    </xf>
    <xf numFmtId="4" fontId="46" fillId="0" borderId="18" xfId="0" applyNumberFormat="1" applyFont="1" applyBorder="1" applyAlignment="1">
      <alignment vertical="top"/>
    </xf>
    <xf numFmtId="184" fontId="46" fillId="0" borderId="18" xfId="0" applyNumberFormat="1" applyFont="1" applyBorder="1" applyAlignment="1">
      <alignment vertical="top"/>
    </xf>
    <xf numFmtId="49" fontId="46" fillId="0" borderId="18" xfId="0" applyNumberFormat="1" applyFont="1" applyBorder="1" applyAlignment="1">
      <alignment vertical="top"/>
    </xf>
    <xf numFmtId="0" fontId="46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6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7" fillId="0" borderId="0" xfId="0" applyFont="1"/>
    <xf numFmtId="0" fontId="48" fillId="0" borderId="0" xfId="0" applyFont="1"/>
    <xf numFmtId="40" fontId="29" fillId="20" borderId="19" xfId="0" applyNumberFormat="1" applyFont="1" applyFill="1" applyBorder="1"/>
    <xf numFmtId="0" fontId="47" fillId="21" borderId="0" xfId="0" applyFont="1" applyFill="1"/>
    <xf numFmtId="0" fontId="49" fillId="0" borderId="0" xfId="0" applyFont="1"/>
    <xf numFmtId="0" fontId="50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7" fillId="24" borderId="0" xfId="0" applyNumberFormat="1" applyFont="1" applyFill="1"/>
    <xf numFmtId="8" fontId="47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3" fillId="0" borderId="9" xfId="7" applyNumberFormat="1" applyBorder="1" applyAlignment="1">
      <alignment horizontal="left" indent="2"/>
    </xf>
    <xf numFmtId="168" fontId="3" fillId="0" borderId="10" xfId="7" applyNumberFormat="1" applyBorder="1" applyAlignment="1">
      <alignment horizontal="left" indent="2"/>
    </xf>
    <xf numFmtId="168" fontId="16" fillId="3" borderId="4" xfId="7" quotePrefix="1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7"/>
      <tableStyleElement type="header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9AB48-3FE5-40B2-8057-1802574C5A86}">
  <sheetPr>
    <pageSetUpPr fitToPage="1"/>
  </sheetPr>
  <dimension ref="A1:CP80"/>
  <sheetViews>
    <sheetView showGridLines="0" tabSelected="1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275</v>
      </c>
      <c r="E1" s="15"/>
      <c r="F1" s="15"/>
      <c r="G1" s="15"/>
      <c r="H1" s="15"/>
      <c r="I1" s="15"/>
      <c r="J1" s="15"/>
      <c r="K1" s="15"/>
      <c r="L1" s="16" t="s">
        <v>14</v>
      </c>
      <c r="M1" s="471">
        <v>525</v>
      </c>
      <c r="N1" s="472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276</v>
      </c>
      <c r="E2" s="21"/>
      <c r="F2" s="21"/>
      <c r="G2" s="21"/>
      <c r="H2" s="21"/>
      <c r="I2" s="21"/>
      <c r="J2" s="20"/>
      <c r="K2" s="20"/>
      <c r="L2" s="22" t="s">
        <v>111</v>
      </c>
      <c r="M2" s="473" t="s">
        <v>279</v>
      </c>
      <c r="N2" s="474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276</v>
      </c>
      <c r="E3" s="24"/>
      <c r="F3" s="25"/>
      <c r="G3" s="25"/>
      <c r="H3" s="25"/>
      <c r="I3" s="26"/>
      <c r="J3" s="20"/>
      <c r="K3" s="20"/>
      <c r="L3" s="22" t="s">
        <v>112</v>
      </c>
      <c r="M3" s="471" t="s">
        <v>168</v>
      </c>
      <c r="N3" s="472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1">
        <v>2024</v>
      </c>
      <c r="N4" s="472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3" t="s">
        <v>277</v>
      </c>
      <c r="J5" s="475"/>
      <c r="K5" s="475"/>
      <c r="L5" s="474"/>
      <c r="M5" s="352" t="s">
        <v>113</v>
      </c>
      <c r="N5" s="32" t="s">
        <v>278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6" t="s">
        <v>22</v>
      </c>
      <c r="D8" s="477"/>
      <c r="E8" s="371" t="s">
        <v>23</v>
      </c>
      <c r="F8" s="49" t="s">
        <v>24</v>
      </c>
      <c r="G8" s="50" t="str">
        <f>"FY "&amp;'EDAB|0001-00'!FiscalYear-1&amp;" SALARY"</f>
        <v>FY 2023 SALARY</v>
      </c>
      <c r="H8" s="50" t="str">
        <f>"FY "&amp;'EDAB|0001-00'!FiscalYear-1&amp;" HEALTH BENEFITS"</f>
        <v>FY 2023 HEALTH BENEFITS</v>
      </c>
      <c r="I8" s="50" t="str">
        <f>"FY "&amp;'EDAB|0001-00'!FiscalYear-1&amp;" VAR BENEFITS"</f>
        <v>FY 2023 VAR BENEFITS</v>
      </c>
      <c r="J8" s="50" t="str">
        <f>"FY "&amp;'EDAB|0001-00'!FiscalYear-1&amp;" TOTAL"</f>
        <v>FY 2023 TOTAL</v>
      </c>
      <c r="K8" s="50" t="str">
        <f>"FY "&amp;'EDAB|0001-00'!FiscalYear&amp;" SALARY CHANGE"</f>
        <v>FY 2024 SALARY CHANGE</v>
      </c>
      <c r="L8" s="50" t="str">
        <f>"FY "&amp;'EDAB|0001-00'!FiscalYear&amp;" CHG HEALTH BENEFITS"</f>
        <v>FY 2024 CHG HEALTH BENEFITS</v>
      </c>
      <c r="M8" s="50" t="str">
        <f>"FY "&amp;'EDAB|0001-00'!FiscalYear&amp;"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7" t="s">
        <v>103</v>
      </c>
      <c r="AB8" s="467"/>
      <c r="AC8" s="467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8" t="s">
        <v>26</v>
      </c>
      <c r="D9" s="469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7" t="s">
        <v>27</v>
      </c>
      <c r="D10" s="470"/>
      <c r="E10" s="217">
        <v>1</v>
      </c>
      <c r="F10" s="288">
        <f>[0]!EDAB000100col_INC_FTI</f>
        <v>1</v>
      </c>
      <c r="G10" s="218">
        <f>[0]!EDAB000100col_FTI_SALARY_PERM</f>
        <v>115564.8</v>
      </c>
      <c r="H10" s="218">
        <f>[0]!EDAB000100col_HEALTH_PERM</f>
        <v>12500</v>
      </c>
      <c r="I10" s="218">
        <f>[0]!EDAB000100col_TOT_VB_PERM</f>
        <v>23807.504448</v>
      </c>
      <c r="J10" s="219">
        <f>SUM(G10:I10)</f>
        <v>151872.30444800001</v>
      </c>
      <c r="K10" s="219">
        <f>[0]!EDAB000100col_1_27TH_PP</f>
        <v>0</v>
      </c>
      <c r="L10" s="218">
        <f>[0]!EDAB000100col_HEALTH_PERM_CHG</f>
        <v>1250</v>
      </c>
      <c r="M10" s="218">
        <f>[0]!EDAB000100col_TOT_VB_PERM_CHG</f>
        <v>254.24255999999889</v>
      </c>
      <c r="N10" s="218">
        <f>SUM(L10:M10)</f>
        <v>1504.2425599999988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1200</v>
      </c>
      <c r="AB10" s="335">
        <f>ROUND(PermVarBen*CECPerm+(CECPerm*PermVarBenChg),-2)</f>
        <v>200</v>
      </c>
      <c r="AC10" s="335">
        <f>SUM(AA10:AB10)</f>
        <v>1400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7" t="s">
        <v>28</v>
      </c>
      <c r="D11" s="470"/>
      <c r="E11" s="217">
        <v>2</v>
      </c>
      <c r="F11" s="288"/>
      <c r="G11" s="218">
        <f>[0]!EDAB000100col_Group_Salary</f>
        <v>525</v>
      </c>
      <c r="H11" s="218">
        <v>0</v>
      </c>
      <c r="I11" s="218">
        <f>[0]!EDAB000100col_Group_Ben</f>
        <v>102.87</v>
      </c>
      <c r="J11" s="219">
        <f>SUM(G11:I11)</f>
        <v>627.87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7" t="s">
        <v>29</v>
      </c>
      <c r="D12" s="448"/>
      <c r="E12" s="217">
        <v>3</v>
      </c>
      <c r="F12" s="288">
        <f>[0]!EDAB000100col_TOTAL_ELECT_PCN_FTI</f>
        <v>0</v>
      </c>
      <c r="G12" s="218">
        <f>[0]!EDAB000100col_FTI_SALARY_ELECT</f>
        <v>0</v>
      </c>
      <c r="H12" s="218">
        <f>[0]!EDAB000100col_HEALTH_ELECT</f>
        <v>0</v>
      </c>
      <c r="I12" s="218">
        <f>[0]!EDAB000100col_TOT_VB_ELECT</f>
        <v>0</v>
      </c>
      <c r="J12" s="219">
        <f>SUM(G12:I12)</f>
        <v>0</v>
      </c>
      <c r="K12" s="268"/>
      <c r="L12" s="218">
        <f>[0]!EDAB000100col_HEALTH_ELECT_CHG</f>
        <v>0</v>
      </c>
      <c r="M12" s="218">
        <f>[0]!EDAB000100col_TOT_VB_ELECT_CHG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7" t="s">
        <v>30</v>
      </c>
      <c r="D13" s="470"/>
      <c r="E13" s="217"/>
      <c r="F13" s="220">
        <f>SUM(F10:F12)</f>
        <v>1</v>
      </c>
      <c r="G13" s="221">
        <f>SUM(G10:G12)</f>
        <v>116089.8</v>
      </c>
      <c r="H13" s="221">
        <f>SUM(H10:H12)</f>
        <v>12500</v>
      </c>
      <c r="I13" s="221">
        <f>SUM(I10:I12)</f>
        <v>23910.374447999999</v>
      </c>
      <c r="J13" s="219">
        <f>SUM(G13:I13)</f>
        <v>152500.17444800001</v>
      </c>
      <c r="K13" s="268"/>
      <c r="L13" s="219">
        <f>SUM(L10:L12)</f>
        <v>1250</v>
      </c>
      <c r="M13" s="219">
        <f>SUM(M10:M12)</f>
        <v>254.24255999999889</v>
      </c>
      <c r="N13" s="219">
        <f>SUM(N10:N12)</f>
        <v>1504.2425599999988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"&amp;'EDAB|0001-00'!FiscalYear-1</f>
        <v>FY 2023</v>
      </c>
      <c r="D15" s="158" t="s">
        <v>31</v>
      </c>
      <c r="E15" s="355">
        <v>134800</v>
      </c>
      <c r="F15" s="55">
        <v>1.5</v>
      </c>
      <c r="G15" s="223">
        <f>IF(OrigApprop=0,0,(G13/$J$13)*OrigApprop)</f>
        <v>102615.65336986558</v>
      </c>
      <c r="H15" s="223">
        <f>IF(OrigApprop=0,0,(H13/$J$13)*OrigApprop)</f>
        <v>11049.167688490459</v>
      </c>
      <c r="I15" s="223">
        <f>IF(G15=0,0,(I13/$J$13)*OrigApprop)</f>
        <v>21135.178941643957</v>
      </c>
      <c r="J15" s="223">
        <f>SUM(G15:I15)</f>
        <v>134800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7" t="s">
        <v>32</v>
      </c>
      <c r="D16" s="458"/>
      <c r="E16" s="160" t="s">
        <v>33</v>
      </c>
      <c r="F16" s="161">
        <f>F15-F13</f>
        <v>0.5</v>
      </c>
      <c r="G16" s="162">
        <f>G15-G13</f>
        <v>-13474.146630134419</v>
      </c>
      <c r="H16" s="162">
        <f>H15-H13</f>
        <v>-1450.8323115095409</v>
      </c>
      <c r="I16" s="162">
        <f>I15-I13</f>
        <v>-2775.1955063560417</v>
      </c>
      <c r="J16" s="162">
        <f>J15-J13</f>
        <v>-17700.174448000005</v>
      </c>
      <c r="K16" s="269"/>
      <c r="L16" s="56" t="str">
        <f>IF('EDAB|0001-00'!OrigApprop=0,"No Original Appropriation amount in DU 3.00 for this fund","Calculated "&amp;IF('EDAB|0001-00'!AdjustedTotal&gt;0,"overfunding ","underfunding ")&amp;"is "&amp;TEXT('EDAB|0001-00'!AdjustedTotal/'EDAB|0001-00'!AppropTotal,"#.0%;(#.0% );0% ;")&amp;" of Original Appropriation")</f>
        <v>Calculated underfunding is (13.1% )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9" t="s">
        <v>34</v>
      </c>
      <c r="D17" s="460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1" t="s">
        <v>35</v>
      </c>
      <c r="D18" s="462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3" t="s">
        <v>37</v>
      </c>
      <c r="D37" s="464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5" t="s">
        <v>105</v>
      </c>
      <c r="AB37" s="466"/>
      <c r="AC37" s="466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7" t="str">
        <f>perm_name</f>
        <v>Permanent Positions</v>
      </c>
      <c r="D38" s="448"/>
      <c r="E38" s="189">
        <v>1</v>
      </c>
      <c r="F38" s="190">
        <f>SUMIF($E9:$E35,$E38,$F9:$F35)</f>
        <v>1</v>
      </c>
      <c r="G38" s="191">
        <f>SUMIF($E10:$E35,$E38,$G10:$G35)</f>
        <v>115564.8</v>
      </c>
      <c r="H38" s="192">
        <f>SUMIF($E10:$E35,$E38,$H10:$H35)</f>
        <v>12500</v>
      </c>
      <c r="I38" s="192">
        <f>SUMIF($E10:$E35,$E38,$I10:$I35)</f>
        <v>23807.504448</v>
      </c>
      <c r="J38" s="192">
        <f>SUM(G38:I38)</f>
        <v>151872.30444800001</v>
      </c>
      <c r="K38" s="166"/>
      <c r="L38" s="191">
        <f>SUMIF($E10:$E35,$E38,$L10:$L35)</f>
        <v>1250</v>
      </c>
      <c r="M38" s="192">
        <f>SUMIF($E10:$E35,$E38,$M10:$M35)</f>
        <v>254.24255999999889</v>
      </c>
      <c r="N38" s="192">
        <f>SUM(L38:M38)</f>
        <v>1504.2425599999988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1200</v>
      </c>
      <c r="AB38" s="338">
        <f>ROUND((AdjPermVB*CECPerm+AdjPermVBBY*CECPerm),-2)</f>
        <v>200</v>
      </c>
      <c r="AC38" s="338">
        <f>SUM(AA38:AB38)</f>
        <v>1400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7" t="str">
        <f>Group_name</f>
        <v>Board &amp; Group Positions</v>
      </c>
      <c r="D39" s="448"/>
      <c r="E39" s="189">
        <v>2</v>
      </c>
      <c r="F39" s="151">
        <f>SUMIF($E9:$E35,$E39,$F9:$F35)</f>
        <v>0</v>
      </c>
      <c r="G39" s="193">
        <f>SUMIF($E10:$E35,$E39,$G10:$G35)</f>
        <v>525</v>
      </c>
      <c r="H39" s="152">
        <f>SUMIF($E10:$E35,$E39,$H10:$H35)</f>
        <v>0</v>
      </c>
      <c r="I39" s="152">
        <f>SUMIF($E10:$E35,$E39,$I10:$I35)</f>
        <v>102.87</v>
      </c>
      <c r="J39" s="152">
        <f>SUM(G39:I39)</f>
        <v>627.87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7" t="s">
        <v>38</v>
      </c>
      <c r="D41" s="448"/>
      <c r="E41" s="189"/>
      <c r="F41" s="161">
        <f>SUM(F38:F40)</f>
        <v>1</v>
      </c>
      <c r="G41" s="195">
        <f>SUM($G$38:$G$40)</f>
        <v>116089.8</v>
      </c>
      <c r="H41" s="162">
        <f>SUM($H$38:$H$40)</f>
        <v>12500</v>
      </c>
      <c r="I41" s="162">
        <f>SUM($I$38:$I$40)</f>
        <v>23910.374447999999</v>
      </c>
      <c r="J41" s="162">
        <f>SUM($J$38:$J$40)</f>
        <v>152500.17444800001</v>
      </c>
      <c r="K41" s="259"/>
      <c r="L41" s="195">
        <f>SUM($L$38:$L$40)</f>
        <v>1250</v>
      </c>
      <c r="M41" s="162">
        <f>SUM($M$38:$M$40)</f>
        <v>254.24255999999889</v>
      </c>
      <c r="N41" s="162">
        <f>SUM(L41:M41)</f>
        <v>1504.2425599999988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9"/>
      <c r="D42" s="450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1" t="s">
        <v>39</v>
      </c>
      <c r="D43" s="452"/>
      <c r="E43" s="203" t="s">
        <v>40</v>
      </c>
      <c r="F43" s="205">
        <f>ROUND(F51-F41,2)</f>
        <v>0.5</v>
      </c>
      <c r="G43" s="206">
        <f>G51-G41</f>
        <v>-13474.146630134419</v>
      </c>
      <c r="H43" s="159">
        <f>H51-H41</f>
        <v>-1450.8323115095409</v>
      </c>
      <c r="I43" s="159">
        <f>I51-I41</f>
        <v>-2775.1955063560417</v>
      </c>
      <c r="J43" s="159">
        <f>SUM(G43:I43)</f>
        <v>-17700.174448000002</v>
      </c>
      <c r="K43" s="428" t="str">
        <f>IF(E51=0,"No Original Appropriation amount in DU 3.00 for this fund","Calculated "&amp;IF(J43&gt;0,"overfunding ","underfunding ")&amp;"is "&amp;TEXT(J43/J51,"#.0%;(#.0% );0%;")&amp;" of Original Appropriation")</f>
        <v>Calculated underfunding is (13.1% ) of Original Appropriation</v>
      </c>
      <c r="L43" s="429"/>
      <c r="M43" s="429"/>
      <c r="N43" s="430"/>
      <c r="O43"/>
      <c r="P43"/>
      <c r="Q43"/>
      <c r="R43"/>
      <c r="S43"/>
      <c r="T43"/>
      <c r="U43"/>
      <c r="V43"/>
      <c r="W43"/>
      <c r="X43"/>
      <c r="Y43"/>
      <c r="Z43" s="344"/>
      <c r="AA43" s="455" t="s">
        <v>106</v>
      </c>
      <c r="AB43" s="456"/>
      <c r="AC43" s="456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3"/>
      <c r="D44" s="454"/>
      <c r="E44" s="204" t="s">
        <v>41</v>
      </c>
      <c r="F44" s="205">
        <f>ROUND(F60-F41,2)</f>
        <v>0.5</v>
      </c>
      <c r="G44" s="206">
        <f>G60-G41</f>
        <v>-13489.800000000003</v>
      </c>
      <c r="H44" s="159">
        <f>H60-H41</f>
        <v>-1500</v>
      </c>
      <c r="I44" s="159">
        <f>I60-I41</f>
        <v>-2810.3744479999987</v>
      </c>
      <c r="J44" s="159">
        <f>SUM(G44:I44)</f>
        <v>-17800.174448000002</v>
      </c>
      <c r="K44" s="42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underfunding is (13.2% ) of Est. Expenditures</v>
      </c>
      <c r="L44" s="429"/>
      <c r="M44" s="429"/>
      <c r="N44" s="43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0.5</v>
      </c>
      <c r="G45" s="206">
        <f>G67-G41-G63</f>
        <v>-13489.800000000003</v>
      </c>
      <c r="H45" s="206">
        <f>H67-H41-H63</f>
        <v>-1500</v>
      </c>
      <c r="I45" s="206">
        <f>I67-I41-I63</f>
        <v>-2810.3744479999987</v>
      </c>
      <c r="J45" s="159">
        <f>SUM(G45:I45)</f>
        <v>-17800.174448000002</v>
      </c>
      <c r="K45" s="428" t="str">
        <f>IF(J67=0,"This fund has a $0 Base in DU 9.00",IF(J67=0,"ERROR! Verify/enter 8 series adjustments!","Calculated "&amp;IF(J45&gt;0,"overfunding ","underfunding ")&amp;"is "&amp;TEXT(J45/J67,"#.0%;(#.0% );0%;")&amp;" of the Base"))</f>
        <v>Calculated underfunding is (13.2% ) of the Base</v>
      </c>
      <c r="L45" s="429"/>
      <c r="M45" s="429"/>
      <c r="N45" s="43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1" t="s">
        <v>98</v>
      </c>
      <c r="F46" s="432"/>
      <c r="G46" s="432"/>
      <c r="H46" s="432"/>
      <c r="I46" s="432"/>
      <c r="J46" s="433"/>
      <c r="K46" s="437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438"/>
      <c r="M46" s="438"/>
      <c r="N46" s="439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4"/>
      <c r="F47" s="435"/>
      <c r="G47" s="435"/>
      <c r="H47" s="435"/>
      <c r="I47" s="435"/>
      <c r="J47" s="436"/>
      <c r="K47" s="440"/>
      <c r="L47" s="441"/>
      <c r="M47" s="441"/>
      <c r="N47" s="442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3"/>
      <c r="D50" s="44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134800</v>
      </c>
      <c r="F51" s="272">
        <f>AppropFTP</f>
        <v>1.5</v>
      </c>
      <c r="G51" s="274">
        <f>IF(E51=0,0,(G41/$J$41)*$E$51)</f>
        <v>102615.65336986558</v>
      </c>
      <c r="H51" s="274">
        <f>IF(E51=0,0,(H41/$J$41)*$E$51)</f>
        <v>11049.167688490459</v>
      </c>
      <c r="I51" s="275">
        <f>IF(E51=0,0,(I41/$J$41)*$E$51)</f>
        <v>21135.178941643957</v>
      </c>
      <c r="J51" s="90">
        <f>SUM(G51:I51)</f>
        <v>134800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1.5</v>
      </c>
      <c r="G52" s="79">
        <f>ROUND(G51,-2)</f>
        <v>102600</v>
      </c>
      <c r="H52" s="79">
        <f>ROUND(H51,-2)</f>
        <v>11000</v>
      </c>
      <c r="I52" s="266">
        <f>ROUND(I51,-2)</f>
        <v>21100</v>
      </c>
      <c r="J52" s="80">
        <f>ROUND(J51,-2)</f>
        <v>134800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10" t="s">
        <v>48</v>
      </c>
      <c r="D54" s="411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3" t="s">
        <v>49</v>
      </c>
      <c r="D55" s="424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1.5</v>
      </c>
      <c r="G56" s="80">
        <f>SUM(G52:G55)</f>
        <v>102600</v>
      </c>
      <c r="H56" s="80">
        <f>SUM(H52:H55)</f>
        <v>11000</v>
      </c>
      <c r="I56" s="260">
        <f>SUM(I52:I55)</f>
        <v>21100</v>
      </c>
      <c r="J56" s="80">
        <f>SUM(J52:J55)</f>
        <v>134800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1" t="s">
        <v>51</v>
      </c>
      <c r="D57" s="425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6" t="s">
        <v>116</v>
      </c>
      <c r="D58" s="427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6" t="s">
        <v>52</v>
      </c>
      <c r="D59" s="427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1.5</v>
      </c>
      <c r="G60" s="80">
        <f>SUM(G56:G59)</f>
        <v>102600</v>
      </c>
      <c r="H60" s="80">
        <f>SUM(H56:H59)</f>
        <v>11000</v>
      </c>
      <c r="I60" s="260">
        <f>SUM(I56:I59)</f>
        <v>21100</v>
      </c>
      <c r="J60" s="80">
        <f>SUM(J56:J59)</f>
        <v>134800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1" t="s">
        <v>54</v>
      </c>
      <c r="D61" s="425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10" t="s">
        <v>65</v>
      </c>
      <c r="D62" s="411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10" t="s">
        <v>55</v>
      </c>
      <c r="D63" s="411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5" t="s">
        <v>56</v>
      </c>
      <c r="D64" s="41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7"/>
      <c r="D65" s="41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9"/>
      <c r="D66" s="42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1.5</v>
      </c>
      <c r="G67" s="80">
        <f>SUM(G60:G64)</f>
        <v>102600</v>
      </c>
      <c r="H67" s="80">
        <f>SUM(H60:H64)</f>
        <v>11000</v>
      </c>
      <c r="I67" s="80">
        <f>SUM(I60:I64)</f>
        <v>21100</v>
      </c>
      <c r="J67" s="80">
        <f>SUM(J60:J64)</f>
        <v>134800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1" t="s">
        <v>58</v>
      </c>
      <c r="D68" s="422"/>
      <c r="E68" s="112"/>
      <c r="F68" s="288"/>
      <c r="G68" s="287"/>
      <c r="H68" s="113">
        <f>IF(DUNine=0,0,ROUND(SUM(L41:L65),-2))</f>
        <v>1300</v>
      </c>
      <c r="I68" s="113"/>
      <c r="J68" s="287">
        <f>SUM(G68:I68)</f>
        <v>1300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1" t="s">
        <v>59</v>
      </c>
      <c r="D69" s="422"/>
      <c r="E69" s="112"/>
      <c r="F69" s="288"/>
      <c r="G69" s="113"/>
      <c r="H69" s="113"/>
      <c r="I69" s="113">
        <f>IF(DUNine=0,0,ROUND(SUM(M41:M64),-2))</f>
        <v>300</v>
      </c>
      <c r="J69" s="287">
        <f>SUM(G69:I69)</f>
        <v>300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8"/>
      <c r="D70" s="409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10" t="s">
        <v>60</v>
      </c>
      <c r="D71" s="411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10" t="s">
        <v>99</v>
      </c>
      <c r="D72" s="412"/>
      <c r="E72" s="290">
        <f>CECPerm</f>
        <v>0.01</v>
      </c>
      <c r="F72" s="288"/>
      <c r="G72" s="356">
        <f>IF(DUNine=0,0,IF(DUNine&lt;0,0,ROUND(AdjPermSalary*CECPerm,-2)))</f>
        <v>1200</v>
      </c>
      <c r="H72" s="287"/>
      <c r="I72" s="287">
        <f>ROUND(($G72*PermVBBY+$G72*Retire1BY),-2)</f>
        <v>300</v>
      </c>
      <c r="J72" s="113">
        <f>SUM(G72:I72)</f>
        <v>1500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10" t="s">
        <v>117</v>
      </c>
      <c r="D73" s="412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1.5</v>
      </c>
      <c r="G75" s="80">
        <f>SUM(G67:G74)</f>
        <v>103800</v>
      </c>
      <c r="H75" s="80">
        <f>SUM(H67:H74)</f>
        <v>12300</v>
      </c>
      <c r="I75" s="80">
        <f>SUM(I67:I74)</f>
        <v>21700</v>
      </c>
      <c r="J75" s="80">
        <f>SUM(J67:K74)</f>
        <v>137900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3" t="s">
        <v>63</v>
      </c>
      <c r="D76" s="414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6"/>
      <c r="D77" s="407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6"/>
      <c r="D78" s="407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6"/>
      <c r="D79" s="407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1.5</v>
      </c>
      <c r="G80" s="80">
        <f>SUM(G75:G79)</f>
        <v>103800</v>
      </c>
      <c r="H80" s="80">
        <f>SUM(H75:H79)</f>
        <v>12300</v>
      </c>
      <c r="I80" s="80">
        <f>SUM(I75:I79)</f>
        <v>21700</v>
      </c>
      <c r="J80" s="80">
        <f>SUM(J75:J79)</f>
        <v>137900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25" priority="8">
      <formula>$J$44&lt;0</formula>
    </cfRule>
  </conditionalFormatting>
  <conditionalFormatting sqref="K43">
    <cfRule type="expression" dxfId="24" priority="7">
      <formula>$J$43&lt;0</formula>
    </cfRule>
  </conditionalFormatting>
  <conditionalFormatting sqref="L16">
    <cfRule type="expression" dxfId="23" priority="6">
      <formula>$J$16&lt;0</formula>
    </cfRule>
  </conditionalFormatting>
  <conditionalFormatting sqref="K45">
    <cfRule type="expression" dxfId="22" priority="5">
      <formula>$J$44&lt;0</formula>
    </cfRule>
  </conditionalFormatting>
  <conditionalFormatting sqref="K43:N45">
    <cfRule type="containsText" dxfId="21" priority="4" operator="containsText" text="underfunding">
      <formula>NOT(ISERROR(SEARCH("underfunding",K43)))</formula>
    </cfRule>
  </conditionalFormatting>
  <conditionalFormatting sqref="K44">
    <cfRule type="expression" dxfId="20" priority="3">
      <formula>$J$44&lt;0</formula>
    </cfRule>
  </conditionalFormatting>
  <conditionalFormatting sqref="K45">
    <cfRule type="expression" dxfId="19" priority="2">
      <formula>$J$44&lt;0</formula>
    </cfRule>
  </conditionalFormatting>
  <conditionalFormatting sqref="K45">
    <cfRule type="expression" dxfId="18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E4B5B7-3A4E-4C1B-A7C7-C8E59525362A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25700-D9F4-4EF7-BBE3-7E2EBC13B901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275</v>
      </c>
      <c r="E1" s="15"/>
      <c r="F1" s="15"/>
      <c r="G1" s="15"/>
      <c r="H1" s="15"/>
      <c r="I1" s="15"/>
      <c r="J1" s="15"/>
      <c r="K1" s="15"/>
      <c r="L1" s="16" t="s">
        <v>14</v>
      </c>
      <c r="M1" s="471">
        <v>525</v>
      </c>
      <c r="N1" s="472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276</v>
      </c>
      <c r="E2" s="21"/>
      <c r="F2" s="21"/>
      <c r="G2" s="21"/>
      <c r="H2" s="21"/>
      <c r="I2" s="21"/>
      <c r="J2" s="20"/>
      <c r="K2" s="20"/>
      <c r="L2" s="22" t="s">
        <v>111</v>
      </c>
      <c r="M2" s="473" t="s">
        <v>285</v>
      </c>
      <c r="N2" s="474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276</v>
      </c>
      <c r="E3" s="24"/>
      <c r="F3" s="25"/>
      <c r="G3" s="25"/>
      <c r="H3" s="25"/>
      <c r="I3" s="26"/>
      <c r="J3" s="20"/>
      <c r="K3" s="20"/>
      <c r="L3" s="22" t="s">
        <v>112</v>
      </c>
      <c r="M3" s="471" t="s">
        <v>168</v>
      </c>
      <c r="N3" s="472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1">
        <v>2024</v>
      </c>
      <c r="N4" s="472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3" t="s">
        <v>283</v>
      </c>
      <c r="J5" s="475"/>
      <c r="K5" s="475"/>
      <c r="L5" s="474"/>
      <c r="M5" s="352" t="s">
        <v>113</v>
      </c>
      <c r="N5" s="32" t="s">
        <v>284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6" t="s">
        <v>22</v>
      </c>
      <c r="D8" s="477"/>
      <c r="E8" s="371" t="s">
        <v>23</v>
      </c>
      <c r="F8" s="49" t="s">
        <v>24</v>
      </c>
      <c r="G8" s="50" t="str">
        <f>"FY "&amp;'EDAB|0325-33'!FiscalYear-1&amp;" SALARY"</f>
        <v>FY 2023 SALARY</v>
      </c>
      <c r="H8" s="50" t="str">
        <f>"FY "&amp;'EDAB|0325-33'!FiscalYear-1&amp;" HEALTH BENEFITS"</f>
        <v>FY 2023 HEALTH BENEFITS</v>
      </c>
      <c r="I8" s="50" t="str">
        <f>"FY "&amp;'EDAB|0325-33'!FiscalYear-1&amp;" VAR BENEFITS"</f>
        <v>FY 2023 VAR BENEFITS</v>
      </c>
      <c r="J8" s="50" t="str">
        <f>"FY "&amp;'EDAB|0325-33'!FiscalYear-1&amp;" TOTAL"</f>
        <v>FY 2023 TOTAL</v>
      </c>
      <c r="K8" s="50" t="str">
        <f>"FY "&amp;'EDAB|0325-33'!FiscalYear&amp;" SALARY CHANGE"</f>
        <v>FY 2024 SALARY CHANGE</v>
      </c>
      <c r="L8" s="50" t="str">
        <f>"FY "&amp;'EDAB|0325-33'!FiscalYear&amp;" CHG HEALTH BENEFITS"</f>
        <v>FY 2024 CHG HEALTH BENEFITS</v>
      </c>
      <c r="M8" s="50" t="str">
        <f>"FY "&amp;'EDAB|0325-33'!FiscalYear&amp;"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7" t="s">
        <v>103</v>
      </c>
      <c r="AB8" s="467"/>
      <c r="AC8" s="467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8" t="s">
        <v>26</v>
      </c>
      <c r="D9" s="469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7" t="s">
        <v>27</v>
      </c>
      <c r="D10" s="470"/>
      <c r="E10" s="217">
        <v>1</v>
      </c>
      <c r="F10" s="288">
        <f>[0]!EDAB032533col_INC_FTI</f>
        <v>3.5</v>
      </c>
      <c r="G10" s="218">
        <f>[0]!EDAB032533col_FTI_SALARY_PERM</f>
        <v>232970.40000000002</v>
      </c>
      <c r="H10" s="218">
        <f>[0]!EDAB032533col_HEALTH_PERM</f>
        <v>47500</v>
      </c>
      <c r="I10" s="218">
        <f>[0]!EDAB032533col_TOT_VB_PERM</f>
        <v>48083.168484000009</v>
      </c>
      <c r="J10" s="219">
        <f>SUM(G10:I10)</f>
        <v>328553.56848400005</v>
      </c>
      <c r="K10" s="219">
        <f>[0]!EDAB032533col_1_27TH_PP</f>
        <v>0</v>
      </c>
      <c r="L10" s="218">
        <f>[0]!EDAB032533col_HEALTH_PERM_CHG</f>
        <v>4750</v>
      </c>
      <c r="M10" s="218">
        <f>[0]!EDAB032533col_TOT_VB_PERM_CHG</f>
        <v>512.53487999999788</v>
      </c>
      <c r="N10" s="218">
        <f>SUM(L10:M10)</f>
        <v>5262.5348799999974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2300</v>
      </c>
      <c r="AB10" s="335">
        <f>ROUND(PermVarBen*CECPerm+(CECPerm*PermVarBenChg),-2)</f>
        <v>500</v>
      </c>
      <c r="AC10" s="335">
        <f>SUM(AA10:AB10)</f>
        <v>2800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7" t="s">
        <v>28</v>
      </c>
      <c r="D11" s="470"/>
      <c r="E11" s="217">
        <v>2</v>
      </c>
      <c r="F11" s="288"/>
      <c r="G11" s="218">
        <f>[0]!EDAB032533col_Group_Salary</f>
        <v>1400</v>
      </c>
      <c r="H11" s="218">
        <v>0</v>
      </c>
      <c r="I11" s="218">
        <f>[0]!EDAB032533col_Group_Ben</f>
        <v>250.39</v>
      </c>
      <c r="J11" s="219">
        <f>SUM(G11:I11)</f>
        <v>1650.3899999999999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7" t="s">
        <v>29</v>
      </c>
      <c r="D12" s="448"/>
      <c r="E12" s="217">
        <v>3</v>
      </c>
      <c r="F12" s="288">
        <f>[0]!EDAB032533col_TOTAL_ELECT_PCN_FTI</f>
        <v>0</v>
      </c>
      <c r="G12" s="218">
        <f>[0]!EDAB032533col_FTI_SALARY_ELECT</f>
        <v>0</v>
      </c>
      <c r="H12" s="218">
        <f>[0]!EDAB032533col_HEALTH_ELECT</f>
        <v>0</v>
      </c>
      <c r="I12" s="218">
        <f>[0]!EDAB032533col_TOT_VB_ELECT</f>
        <v>0</v>
      </c>
      <c r="J12" s="219">
        <f>SUM(G12:I12)</f>
        <v>0</v>
      </c>
      <c r="K12" s="268"/>
      <c r="L12" s="218">
        <f>[0]!EDAB032533col_HEALTH_ELECT_CHG</f>
        <v>0</v>
      </c>
      <c r="M12" s="218">
        <f>[0]!EDAB032533col_TOT_VB_ELECT_CHG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7" t="s">
        <v>30</v>
      </c>
      <c r="D13" s="470"/>
      <c r="E13" s="217"/>
      <c r="F13" s="220">
        <f>SUM(F10:F12)</f>
        <v>3.5</v>
      </c>
      <c r="G13" s="221">
        <f>SUM(G10:G12)</f>
        <v>234370.40000000002</v>
      </c>
      <c r="H13" s="221">
        <f>SUM(H10:H12)</f>
        <v>47500</v>
      </c>
      <c r="I13" s="221">
        <f>SUM(I10:I12)</f>
        <v>48333.558484000008</v>
      </c>
      <c r="J13" s="219">
        <f>SUM(G13:I13)</f>
        <v>330203.95848400006</v>
      </c>
      <c r="K13" s="268"/>
      <c r="L13" s="219">
        <f>SUM(L10:L12)</f>
        <v>4750</v>
      </c>
      <c r="M13" s="219">
        <f>SUM(M10:M12)</f>
        <v>512.53487999999788</v>
      </c>
      <c r="N13" s="219">
        <f>SUM(N10:N12)</f>
        <v>5262.5348799999974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"&amp;'EDAB|0325-33'!FiscalYear-1</f>
        <v>FY 2023</v>
      </c>
      <c r="D15" s="158" t="s">
        <v>31</v>
      </c>
      <c r="E15" s="355">
        <v>394600</v>
      </c>
      <c r="F15" s="55">
        <v>3.5</v>
      </c>
      <c r="G15" s="223">
        <f>IF(OrigApprop=0,0,(G13/$J$13)*OrigApprop)</f>
        <v>280077.07801141101</v>
      </c>
      <c r="H15" s="223">
        <f>IF(OrigApprop=0,0,(H13/$J$13)*OrigApprop)</f>
        <v>56763.401886680324</v>
      </c>
      <c r="I15" s="223">
        <f>IF(G15=0,0,(I13/$J$13)*OrigApprop)</f>
        <v>57759.520101908631</v>
      </c>
      <c r="J15" s="223">
        <f>SUM(G15:I15)</f>
        <v>394600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7" t="s">
        <v>32</v>
      </c>
      <c r="D16" s="458"/>
      <c r="E16" s="160" t="s">
        <v>33</v>
      </c>
      <c r="F16" s="161">
        <f>F15-F13</f>
        <v>0</v>
      </c>
      <c r="G16" s="162">
        <f>G15-G13</f>
        <v>45706.678011410986</v>
      </c>
      <c r="H16" s="162">
        <f>H15-H13</f>
        <v>9263.4018866803235</v>
      </c>
      <c r="I16" s="162">
        <f>I15-I13</f>
        <v>9425.9616179086224</v>
      </c>
      <c r="J16" s="162">
        <f>J15-J13</f>
        <v>64396.041515999939</v>
      </c>
      <c r="K16" s="269"/>
      <c r="L16" s="56" t="str">
        <f>IF('EDAB|0325-33'!OrigApprop=0,"No Original Appropriation amount in DU 3.00 for this fund","Calculated "&amp;IF('EDAB|0325-33'!AdjustedTotal&gt;0,"overfunding ","underfunding ")&amp;"is "&amp;TEXT('EDAB|0325-33'!AdjustedTotal/'EDAB|0325-33'!AppropTotal,"#.0%;(#.0% );0% ;")&amp;" of Original Appropriation")</f>
        <v>Calculated overfunding is 16.3%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9" t="s">
        <v>34</v>
      </c>
      <c r="D17" s="460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1" t="s">
        <v>35</v>
      </c>
      <c r="D18" s="462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3" t="s">
        <v>37</v>
      </c>
      <c r="D37" s="464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5" t="s">
        <v>105</v>
      </c>
      <c r="AB37" s="466"/>
      <c r="AC37" s="466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7" t="str">
        <f>perm_name</f>
        <v>Permanent Positions</v>
      </c>
      <c r="D38" s="448"/>
      <c r="E38" s="189">
        <v>1</v>
      </c>
      <c r="F38" s="190">
        <f>SUMIF($E9:$E35,$E38,$F9:$F35)</f>
        <v>3.5</v>
      </c>
      <c r="G38" s="191">
        <f>SUMIF($E10:$E35,$E38,$G10:$G35)</f>
        <v>232970.40000000002</v>
      </c>
      <c r="H38" s="192">
        <f>SUMIF($E10:$E35,$E38,$H10:$H35)</f>
        <v>47500</v>
      </c>
      <c r="I38" s="192">
        <f>SUMIF($E10:$E35,$E38,$I10:$I35)</f>
        <v>48083.168484000009</v>
      </c>
      <c r="J38" s="192">
        <f>SUM(G38:I38)</f>
        <v>328553.56848400005</v>
      </c>
      <c r="K38" s="166"/>
      <c r="L38" s="191">
        <f>SUMIF($E10:$E35,$E38,$L10:$L35)</f>
        <v>4750</v>
      </c>
      <c r="M38" s="192">
        <f>SUMIF($E10:$E35,$E38,$M10:$M35)</f>
        <v>512.53487999999788</v>
      </c>
      <c r="N38" s="192">
        <f>SUM(L38:M38)</f>
        <v>5262.5348799999974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2300</v>
      </c>
      <c r="AB38" s="338">
        <f>ROUND((AdjPermVB*CECPerm+AdjPermVBBY*CECPerm),-2)</f>
        <v>500</v>
      </c>
      <c r="AC38" s="338">
        <f>SUM(AA38:AB38)</f>
        <v>2800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7" t="str">
        <f>Group_name</f>
        <v>Board &amp; Group Positions</v>
      </c>
      <c r="D39" s="448"/>
      <c r="E39" s="189">
        <v>2</v>
      </c>
      <c r="F39" s="151">
        <f>SUMIF($E9:$E35,$E39,$F9:$F35)</f>
        <v>0</v>
      </c>
      <c r="G39" s="193">
        <f>SUMIF($E10:$E35,$E39,$G10:$G35)</f>
        <v>1400</v>
      </c>
      <c r="H39" s="152">
        <f>SUMIF($E10:$E35,$E39,$H10:$H35)</f>
        <v>0</v>
      </c>
      <c r="I39" s="152">
        <f>SUMIF($E10:$E35,$E39,$I10:$I35)</f>
        <v>250.39</v>
      </c>
      <c r="J39" s="152">
        <f>SUM(G39:I39)</f>
        <v>1650.3899999999999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7" t="s">
        <v>38</v>
      </c>
      <c r="D41" s="448"/>
      <c r="E41" s="189"/>
      <c r="F41" s="161">
        <f>SUM(F38:F40)</f>
        <v>3.5</v>
      </c>
      <c r="G41" s="195">
        <f>SUM($G$38:$G$40)</f>
        <v>234370.40000000002</v>
      </c>
      <c r="H41" s="162">
        <f>SUM($H$38:$H$40)</f>
        <v>47500</v>
      </c>
      <c r="I41" s="162">
        <f>SUM($I$38:$I$40)</f>
        <v>48333.558484000008</v>
      </c>
      <c r="J41" s="162">
        <f>SUM($J$38:$J$40)</f>
        <v>330203.95848400006</v>
      </c>
      <c r="K41" s="259"/>
      <c r="L41" s="195">
        <f>SUM($L$38:$L$40)</f>
        <v>4750</v>
      </c>
      <c r="M41" s="162">
        <f>SUM($M$38:$M$40)</f>
        <v>512.53487999999788</v>
      </c>
      <c r="N41" s="162">
        <f>SUM(L41:M41)</f>
        <v>5262.5348799999974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9"/>
      <c r="D42" s="450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1" t="s">
        <v>39</v>
      </c>
      <c r="D43" s="452"/>
      <c r="E43" s="203" t="s">
        <v>40</v>
      </c>
      <c r="F43" s="205">
        <f>ROUND(F51-F41,2)</f>
        <v>0</v>
      </c>
      <c r="G43" s="206">
        <f>G51-G41</f>
        <v>45706.678011410986</v>
      </c>
      <c r="H43" s="159">
        <f>H51-H41</f>
        <v>9263.4018866803235</v>
      </c>
      <c r="I43" s="159">
        <f>I51-I41</f>
        <v>9425.9616179086224</v>
      </c>
      <c r="J43" s="159">
        <f>SUM(G43:I43)</f>
        <v>64396.041515999932</v>
      </c>
      <c r="K43" s="428" t="str">
        <f>IF(E51=0,"No Original Appropriation amount in DU 3.00 for this fund","Calculated "&amp;IF(J43&gt;0,"overfunding ","underfunding ")&amp;"is "&amp;TEXT(J43/J51,"#.0%;(#.0% );0%;")&amp;" of Original Appropriation")</f>
        <v>Calculated overfunding is 16.3% of Original Appropriation</v>
      </c>
      <c r="L43" s="429"/>
      <c r="M43" s="429"/>
      <c r="N43" s="430"/>
      <c r="O43"/>
      <c r="P43"/>
      <c r="Q43"/>
      <c r="R43"/>
      <c r="S43"/>
      <c r="T43"/>
      <c r="U43"/>
      <c r="V43"/>
      <c r="W43"/>
      <c r="X43"/>
      <c r="Y43"/>
      <c r="Z43" s="344"/>
      <c r="AA43" s="455" t="s">
        <v>106</v>
      </c>
      <c r="AB43" s="456"/>
      <c r="AC43" s="456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3"/>
      <c r="D44" s="454"/>
      <c r="E44" s="204" t="s">
        <v>41</v>
      </c>
      <c r="F44" s="205">
        <f>ROUND(F60-F41,2)</f>
        <v>0</v>
      </c>
      <c r="G44" s="206">
        <f>G60-G41</f>
        <v>45729.599999999977</v>
      </c>
      <c r="H44" s="159">
        <f>H60-H41</f>
        <v>9300</v>
      </c>
      <c r="I44" s="159">
        <f>I60-I41</f>
        <v>9466.4415159999917</v>
      </c>
      <c r="J44" s="159">
        <f>SUM(G44:I44)</f>
        <v>64496.041515999968</v>
      </c>
      <c r="K44" s="42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16.3% of Est. Expenditures</v>
      </c>
      <c r="L44" s="429"/>
      <c r="M44" s="429"/>
      <c r="N44" s="43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>
        <f>G67-G41-G63</f>
        <v>45729.599999999977</v>
      </c>
      <c r="H45" s="206">
        <f>H67-H41-H63</f>
        <v>9300</v>
      </c>
      <c r="I45" s="206">
        <f>I67-I41-I63</f>
        <v>9466.4415159999917</v>
      </c>
      <c r="J45" s="159">
        <f>SUM(G45:I45)</f>
        <v>64496.041515999968</v>
      </c>
      <c r="K45" s="428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16.3% of the Base</v>
      </c>
      <c r="L45" s="429"/>
      <c r="M45" s="429"/>
      <c r="N45" s="43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1" t="s">
        <v>98</v>
      </c>
      <c r="F46" s="432"/>
      <c r="G46" s="432"/>
      <c r="H46" s="432"/>
      <c r="I46" s="432"/>
      <c r="J46" s="433"/>
      <c r="K46" s="437" t="str">
        <f>IF(OR(J45&lt;0,F45&lt;0),"You may not have sufficient funding or authorized FTP, and may need to make additional adjustments to finalize this form.  Please contact both your DFM and LSO analysts.","")</f>
        <v/>
      </c>
      <c r="L46" s="438"/>
      <c r="M46" s="438"/>
      <c r="N46" s="439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4"/>
      <c r="F47" s="435"/>
      <c r="G47" s="435"/>
      <c r="H47" s="435"/>
      <c r="I47" s="435"/>
      <c r="J47" s="436"/>
      <c r="K47" s="440"/>
      <c r="L47" s="441"/>
      <c r="M47" s="441"/>
      <c r="N47" s="442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3"/>
      <c r="D50" s="44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394600</v>
      </c>
      <c r="F51" s="272">
        <f>AppropFTP</f>
        <v>3.5</v>
      </c>
      <c r="G51" s="274">
        <f>IF(E51=0,0,(G41/$J$41)*$E$51)</f>
        <v>280077.07801141101</v>
      </c>
      <c r="H51" s="274">
        <f>IF(E51=0,0,(H41/$J$41)*$E$51)</f>
        <v>56763.401886680324</v>
      </c>
      <c r="I51" s="275">
        <f>IF(E51=0,0,(I41/$J$41)*$E$51)</f>
        <v>57759.520101908631</v>
      </c>
      <c r="J51" s="90">
        <f>SUM(G51:I51)</f>
        <v>394600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3.5</v>
      </c>
      <c r="G52" s="79">
        <f>ROUND(G51,-2)</f>
        <v>280100</v>
      </c>
      <c r="H52" s="79">
        <f>ROUND(H51,-2)</f>
        <v>56800</v>
      </c>
      <c r="I52" s="266">
        <f>ROUND(I51,-2)</f>
        <v>57800</v>
      </c>
      <c r="J52" s="80">
        <f>ROUND(J51,-2)</f>
        <v>394600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10" t="s">
        <v>48</v>
      </c>
      <c r="D54" s="411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3" t="s">
        <v>49</v>
      </c>
      <c r="D55" s="424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3.5</v>
      </c>
      <c r="G56" s="80">
        <f>SUM(G52:G55)</f>
        <v>280100</v>
      </c>
      <c r="H56" s="80">
        <f>SUM(H52:H55)</f>
        <v>56800</v>
      </c>
      <c r="I56" s="260">
        <f>SUM(I52:I55)</f>
        <v>57800</v>
      </c>
      <c r="J56" s="80">
        <f>SUM(J52:J55)</f>
        <v>394600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1" t="s">
        <v>51</v>
      </c>
      <c r="D57" s="425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6" t="s">
        <v>116</v>
      </c>
      <c r="D58" s="427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6" t="s">
        <v>52</v>
      </c>
      <c r="D59" s="427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3.5</v>
      </c>
      <c r="G60" s="80">
        <f>SUM(G56:G59)</f>
        <v>280100</v>
      </c>
      <c r="H60" s="80">
        <f>SUM(H56:H59)</f>
        <v>56800</v>
      </c>
      <c r="I60" s="260">
        <f>SUM(I56:I59)</f>
        <v>57800</v>
      </c>
      <c r="J60" s="80">
        <f>SUM(J56:J59)</f>
        <v>394600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1" t="s">
        <v>54</v>
      </c>
      <c r="D61" s="425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10" t="s">
        <v>65</v>
      </c>
      <c r="D62" s="411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10" t="s">
        <v>55</v>
      </c>
      <c r="D63" s="411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5" t="s">
        <v>56</v>
      </c>
      <c r="D64" s="41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7"/>
      <c r="D65" s="41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9"/>
      <c r="D66" s="42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3.5</v>
      </c>
      <c r="G67" s="80">
        <f>SUM(G60:G64)</f>
        <v>280100</v>
      </c>
      <c r="H67" s="80">
        <f>SUM(H60:H64)</f>
        <v>56800</v>
      </c>
      <c r="I67" s="80">
        <f>SUM(I60:I64)</f>
        <v>57800</v>
      </c>
      <c r="J67" s="80">
        <f>SUM(J60:J64)</f>
        <v>394600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1" t="s">
        <v>58</v>
      </c>
      <c r="D68" s="422"/>
      <c r="E68" s="112"/>
      <c r="F68" s="288"/>
      <c r="G68" s="287"/>
      <c r="H68" s="113">
        <f>IF(DUNine=0,0,ROUND(SUM(L41:L65),-2))</f>
        <v>4800</v>
      </c>
      <c r="I68" s="113"/>
      <c r="J68" s="287">
        <f>SUM(G68:I68)</f>
        <v>4800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1" t="s">
        <v>59</v>
      </c>
      <c r="D69" s="422"/>
      <c r="E69" s="112"/>
      <c r="F69" s="288"/>
      <c r="G69" s="113"/>
      <c r="H69" s="113"/>
      <c r="I69" s="113">
        <f>IF(DUNine=0,0,ROUND(SUM(M41:M64),-2))</f>
        <v>500</v>
      </c>
      <c r="J69" s="287">
        <f>SUM(G69:I69)</f>
        <v>500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8"/>
      <c r="D70" s="409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10" t="s">
        <v>60</v>
      </c>
      <c r="D71" s="411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10" t="s">
        <v>99</v>
      </c>
      <c r="D72" s="412"/>
      <c r="E72" s="290">
        <f>CECPerm</f>
        <v>0.01</v>
      </c>
      <c r="F72" s="288"/>
      <c r="G72" s="356">
        <f>IF(DUNine=0,0,IF(DUNine&lt;0,0,ROUND(AdjPermSalary*CECPerm,-2)))</f>
        <v>2300</v>
      </c>
      <c r="H72" s="287"/>
      <c r="I72" s="287">
        <f>ROUND(($G72*PermVBBY+$G72*Retire1BY),-2)</f>
        <v>500</v>
      </c>
      <c r="J72" s="113">
        <f>SUM(G72:I72)</f>
        <v>2800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10" t="s">
        <v>117</v>
      </c>
      <c r="D73" s="412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3.5</v>
      </c>
      <c r="G75" s="80">
        <f>SUM(G67:G74)</f>
        <v>282400</v>
      </c>
      <c r="H75" s="80">
        <f>SUM(H67:H74)</f>
        <v>61600</v>
      </c>
      <c r="I75" s="80">
        <f>SUM(I67:I74)</f>
        <v>58800</v>
      </c>
      <c r="J75" s="80">
        <f>SUM(J67:K74)</f>
        <v>402700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3" t="s">
        <v>63</v>
      </c>
      <c r="D76" s="414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6"/>
      <c r="D77" s="407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6"/>
      <c r="D78" s="407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6"/>
      <c r="D79" s="407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3.5</v>
      </c>
      <c r="G80" s="80">
        <f>SUM(G75:G79)</f>
        <v>282400</v>
      </c>
      <c r="H80" s="80">
        <f>SUM(H75:H79)</f>
        <v>61600</v>
      </c>
      <c r="I80" s="80">
        <f>SUM(I75:I79)</f>
        <v>58800</v>
      </c>
      <c r="J80" s="80">
        <f>SUM(J75:J79)</f>
        <v>402700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7" priority="8">
      <formula>$J$44&lt;0</formula>
    </cfRule>
  </conditionalFormatting>
  <conditionalFormatting sqref="K43">
    <cfRule type="expression" dxfId="16" priority="7">
      <formula>$J$43&lt;0</formula>
    </cfRule>
  </conditionalFormatting>
  <conditionalFormatting sqref="L16">
    <cfRule type="expression" dxfId="15" priority="6">
      <formula>$J$16&lt;0</formula>
    </cfRule>
  </conditionalFormatting>
  <conditionalFormatting sqref="K45">
    <cfRule type="expression" dxfId="14" priority="5">
      <formula>$J$44&lt;0</formula>
    </cfRule>
  </conditionalFormatting>
  <conditionalFormatting sqref="K43:N45">
    <cfRule type="containsText" dxfId="13" priority="4" operator="containsText" text="underfunding">
      <formula>NOT(ISERROR(SEARCH("underfunding",K43)))</formula>
    </cfRule>
  </conditionalFormatting>
  <conditionalFormatting sqref="K44">
    <cfRule type="expression" dxfId="12" priority="3">
      <formula>$J$44&lt;0</formula>
    </cfRule>
  </conditionalFormatting>
  <conditionalFormatting sqref="K45">
    <cfRule type="expression" dxfId="11" priority="2">
      <formula>$J$44&lt;0</formula>
    </cfRule>
  </conditionalFormatting>
  <conditionalFormatting sqref="K45">
    <cfRule type="expression" dxfId="10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781B3A-CEA5-4935-98E4-E6BF775236BB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CN42"/>
  <sheetViews>
    <sheetView workbookViewId="0">
      <pane xSplit="3" ySplit="1" topLeftCell="AX19" activePane="bottomRight" state="frozen"/>
      <selection pane="topRight" activeCell="D1" sqref="D1"/>
      <selection pane="bottomLeft" activeCell="A2" sqref="A2"/>
      <selection pane="bottomRight" activeCell="AS27" sqref="AS27:BA42"/>
    </sheetView>
  </sheetViews>
  <sheetFormatPr defaultRowHeight="15" x14ac:dyDescent="0.25"/>
  <cols>
    <col min="45" max="53" width="15.7109375" customWidth="1"/>
    <col min="54" max="54" width="10.85546875" bestFit="1" customWidth="1"/>
    <col min="55" max="55" width="9.28515625" bestFit="1" customWidth="1"/>
    <col min="56" max="56" width="10.85546875" bestFit="1" customWidth="1"/>
    <col min="57" max="57" width="9.7109375" bestFit="1" customWidth="1"/>
    <col min="58" max="58" width="10.85546875" bestFit="1" customWidth="1"/>
    <col min="59" max="59" width="9.7109375" bestFit="1" customWidth="1"/>
    <col min="60" max="63" width="9.28515625" bestFit="1" customWidth="1"/>
    <col min="64" max="64" width="10.85546875" bestFit="1" customWidth="1"/>
    <col min="65" max="65" width="9.28515625" bestFit="1" customWidth="1"/>
    <col min="66" max="66" width="10.85546875" bestFit="1" customWidth="1"/>
    <col min="67" max="67" width="9.28515625" bestFit="1" customWidth="1"/>
    <col min="68" max="68" width="10.85546875" bestFit="1" customWidth="1"/>
    <col min="69" max="69" width="9.7109375" bestFit="1" customWidth="1"/>
    <col min="70" max="70" width="10.85546875" bestFit="1" customWidth="1"/>
    <col min="71" max="71" width="9.7109375" bestFit="1" customWidth="1"/>
    <col min="72" max="73" width="9.28515625" bestFit="1" customWidth="1"/>
    <col min="74" max="74" width="9.7109375" bestFit="1" customWidth="1"/>
    <col min="75" max="75" width="9.28515625" bestFit="1" customWidth="1"/>
    <col min="76" max="76" width="10.85546875" bestFit="1" customWidth="1"/>
    <col min="77" max="77" width="9.28515625" bestFit="1" customWidth="1"/>
    <col min="78" max="78" width="9.7109375" bestFit="1" customWidth="1"/>
    <col min="79" max="81" width="9.28515625" bestFit="1" customWidth="1"/>
    <col min="82" max="82" width="10.42578125" bestFit="1" customWidth="1"/>
    <col min="83" max="85" width="9.28515625" bestFit="1" customWidth="1"/>
    <col min="86" max="86" width="9.7109375" bestFit="1" customWidth="1"/>
    <col min="87" max="89" width="9.28515625" bestFit="1" customWidth="1"/>
    <col min="90" max="90" width="9.7109375" bestFit="1" customWidth="1"/>
    <col min="91" max="91" width="9.28515625" bestFit="1" customWidth="1"/>
  </cols>
  <sheetData>
    <row r="1" spans="1:92" ht="12.75" customHeight="1" thickBot="1" x14ac:dyDescent="0.3">
      <c r="A1" s="375" t="s">
        <v>119</v>
      </c>
      <c r="B1" s="375" t="s">
        <v>120</v>
      </c>
      <c r="C1" s="375" t="s">
        <v>20</v>
      </c>
      <c r="D1" s="375" t="s">
        <v>121</v>
      </c>
      <c r="E1" s="375" t="s">
        <v>122</v>
      </c>
      <c r="F1" s="376" t="s">
        <v>123</v>
      </c>
      <c r="G1" s="375" t="s">
        <v>124</v>
      </c>
      <c r="H1" s="375" t="s">
        <v>125</v>
      </c>
      <c r="I1" s="375" t="s">
        <v>126</v>
      </c>
      <c r="J1" s="375" t="s">
        <v>127</v>
      </c>
      <c r="K1" s="375" t="s">
        <v>128</v>
      </c>
      <c r="L1" s="375" t="s">
        <v>129</v>
      </c>
      <c r="M1" s="375" t="s">
        <v>130</v>
      </c>
      <c r="N1" s="375" t="s">
        <v>131</v>
      </c>
      <c r="O1" s="375" t="s">
        <v>132</v>
      </c>
      <c r="P1" s="375" t="s">
        <v>133</v>
      </c>
      <c r="Q1" s="375" t="s">
        <v>134</v>
      </c>
      <c r="R1" s="375" t="s">
        <v>135</v>
      </c>
      <c r="S1" s="375" t="s">
        <v>136</v>
      </c>
      <c r="T1" s="375" t="s">
        <v>137</v>
      </c>
      <c r="U1" s="375" t="s">
        <v>138</v>
      </c>
      <c r="V1" s="375" t="s">
        <v>139</v>
      </c>
      <c r="W1" s="375" t="s">
        <v>140</v>
      </c>
      <c r="X1" s="375" t="s">
        <v>141</v>
      </c>
      <c r="Y1" s="375" t="s">
        <v>142</v>
      </c>
      <c r="Z1" s="375" t="s">
        <v>143</v>
      </c>
      <c r="AA1" s="375" t="s">
        <v>144</v>
      </c>
      <c r="AB1" s="375" t="s">
        <v>145</v>
      </c>
      <c r="AC1" s="375" t="s">
        <v>146</v>
      </c>
      <c r="AD1" s="375" t="s">
        <v>147</v>
      </c>
      <c r="AE1" s="375" t="s">
        <v>148</v>
      </c>
      <c r="AF1" s="375" t="s">
        <v>149</v>
      </c>
      <c r="AG1" s="375" t="s">
        <v>150</v>
      </c>
      <c r="AH1" s="375" t="s">
        <v>151</v>
      </c>
      <c r="AI1" s="375" t="s">
        <v>152</v>
      </c>
      <c r="AJ1" s="375" t="s">
        <v>153</v>
      </c>
      <c r="AK1" s="375" t="s">
        <v>154</v>
      </c>
      <c r="AL1" s="375" t="s">
        <v>155</v>
      </c>
      <c r="AM1" s="375" t="s">
        <v>156</v>
      </c>
      <c r="AN1" s="375" t="s">
        <v>157</v>
      </c>
      <c r="AO1" s="375" t="s">
        <v>158</v>
      </c>
      <c r="AP1" s="375" t="s">
        <v>159</v>
      </c>
      <c r="AQ1" s="375" t="s">
        <v>160</v>
      </c>
      <c r="AR1" s="375" t="s">
        <v>161</v>
      </c>
      <c r="AS1" s="387" t="s">
        <v>225</v>
      </c>
      <c r="AT1" s="387" t="s">
        <v>226</v>
      </c>
      <c r="AU1" s="387" t="s">
        <v>227</v>
      </c>
      <c r="AV1" s="387" t="s">
        <v>228</v>
      </c>
      <c r="AW1" s="387" t="s">
        <v>229</v>
      </c>
      <c r="AX1" s="387" t="s">
        <v>230</v>
      </c>
      <c r="AY1" s="387" t="s">
        <v>231</v>
      </c>
      <c r="AZ1" s="387" t="s">
        <v>232</v>
      </c>
      <c r="BA1" s="389" t="s">
        <v>233</v>
      </c>
      <c r="BB1" s="390" t="s">
        <v>234</v>
      </c>
      <c r="BC1" s="390" t="s">
        <v>235</v>
      </c>
      <c r="BD1" s="390" t="s">
        <v>236</v>
      </c>
      <c r="BE1" s="390" t="s">
        <v>237</v>
      </c>
      <c r="BF1" s="390" t="s">
        <v>238</v>
      </c>
      <c r="BG1" s="390" t="s">
        <v>239</v>
      </c>
      <c r="BH1" s="390" t="s">
        <v>240</v>
      </c>
      <c r="BI1" s="390" t="s">
        <v>241</v>
      </c>
      <c r="BJ1" s="390" t="s">
        <v>242</v>
      </c>
      <c r="BK1" s="390" t="s">
        <v>243</v>
      </c>
      <c r="BL1" s="391" t="s">
        <v>244</v>
      </c>
      <c r="BM1" s="391" t="s">
        <v>245</v>
      </c>
      <c r="BN1" s="390" t="s">
        <v>246</v>
      </c>
      <c r="BO1" s="390" t="s">
        <v>247</v>
      </c>
      <c r="BP1" s="390" t="s">
        <v>248</v>
      </c>
      <c r="BQ1" s="390" t="s">
        <v>249</v>
      </c>
      <c r="BR1" s="390" t="s">
        <v>250</v>
      </c>
      <c r="BS1" s="390" t="s">
        <v>251</v>
      </c>
      <c r="BT1" s="390" t="s">
        <v>252</v>
      </c>
      <c r="BU1" s="390" t="s">
        <v>253</v>
      </c>
      <c r="BV1" s="390" t="s">
        <v>254</v>
      </c>
      <c r="BW1" s="390" t="s">
        <v>255</v>
      </c>
      <c r="BX1" s="391" t="s">
        <v>256</v>
      </c>
      <c r="BY1" s="391" t="s">
        <v>257</v>
      </c>
      <c r="BZ1" s="390" t="s">
        <v>258</v>
      </c>
      <c r="CA1" s="390" t="s">
        <v>259</v>
      </c>
      <c r="CB1" s="390" t="s">
        <v>260</v>
      </c>
      <c r="CC1" s="390" t="s">
        <v>261</v>
      </c>
      <c r="CD1" s="390" t="s">
        <v>262</v>
      </c>
      <c r="CE1" s="390" t="s">
        <v>263</v>
      </c>
      <c r="CF1" s="390" t="s">
        <v>264</v>
      </c>
      <c r="CG1" s="390" t="s">
        <v>265</v>
      </c>
      <c r="CH1" s="390" t="s">
        <v>266</v>
      </c>
      <c r="CI1" s="390" t="s">
        <v>267</v>
      </c>
      <c r="CJ1" s="391" t="s">
        <v>268</v>
      </c>
      <c r="CK1" s="391" t="s">
        <v>269</v>
      </c>
      <c r="CL1" s="392" t="s">
        <v>270</v>
      </c>
      <c r="CM1" s="392" t="s">
        <v>271</v>
      </c>
      <c r="CN1" s="392" t="s">
        <v>272</v>
      </c>
    </row>
    <row r="2" spans="1:92" ht="15.75" thickBot="1" x14ac:dyDescent="0.3">
      <c r="A2" s="377" t="s">
        <v>162</v>
      </c>
      <c r="B2" s="377" t="s">
        <v>163</v>
      </c>
      <c r="C2" s="377" t="s">
        <v>164</v>
      </c>
      <c r="D2" s="377" t="s">
        <v>165</v>
      </c>
      <c r="E2" s="377" t="s">
        <v>166</v>
      </c>
      <c r="F2" s="378" t="s">
        <v>167</v>
      </c>
      <c r="G2" s="377" t="s">
        <v>168</v>
      </c>
      <c r="H2" s="379"/>
      <c r="I2" s="379"/>
      <c r="J2" s="377" t="s">
        <v>169</v>
      </c>
      <c r="K2" s="377" t="s">
        <v>170</v>
      </c>
      <c r="L2" s="377" t="s">
        <v>167</v>
      </c>
      <c r="M2" s="377" t="s">
        <v>171</v>
      </c>
      <c r="N2" s="377" t="s">
        <v>172</v>
      </c>
      <c r="O2" s="380">
        <v>1</v>
      </c>
      <c r="P2" s="386">
        <v>0</v>
      </c>
      <c r="Q2" s="386">
        <v>0</v>
      </c>
      <c r="R2" s="381">
        <v>80</v>
      </c>
      <c r="S2" s="386">
        <v>0</v>
      </c>
      <c r="T2" s="381">
        <v>6322</v>
      </c>
      <c r="U2" s="381">
        <v>0</v>
      </c>
      <c r="V2" s="381">
        <v>2541.7600000000002</v>
      </c>
      <c r="W2" s="381">
        <v>0</v>
      </c>
      <c r="X2" s="381">
        <v>0</v>
      </c>
      <c r="Y2" s="381">
        <v>0</v>
      </c>
      <c r="Z2" s="381">
        <v>0</v>
      </c>
      <c r="AA2" s="377" t="s">
        <v>173</v>
      </c>
      <c r="AB2" s="377" t="s">
        <v>174</v>
      </c>
      <c r="AC2" s="377" t="s">
        <v>175</v>
      </c>
      <c r="AD2" s="377" t="s">
        <v>176</v>
      </c>
      <c r="AE2" s="377" t="s">
        <v>170</v>
      </c>
      <c r="AF2" s="377" t="s">
        <v>177</v>
      </c>
      <c r="AG2" s="377" t="s">
        <v>178</v>
      </c>
      <c r="AH2" s="382">
        <v>34.56</v>
      </c>
      <c r="AI2" s="380">
        <v>4080</v>
      </c>
      <c r="AJ2" s="377" t="s">
        <v>179</v>
      </c>
      <c r="AK2" s="377" t="s">
        <v>180</v>
      </c>
      <c r="AL2" s="377" t="s">
        <v>181</v>
      </c>
      <c r="AM2" s="377" t="s">
        <v>182</v>
      </c>
      <c r="AN2" s="377" t="s">
        <v>66</v>
      </c>
      <c r="AO2" s="380">
        <v>80</v>
      </c>
      <c r="AP2" s="386">
        <v>1</v>
      </c>
      <c r="AQ2" s="386">
        <v>0</v>
      </c>
      <c r="AR2" s="384" t="s">
        <v>183</v>
      </c>
      <c r="AS2" s="388">
        <f>IF(((AO2/80)*AP2*P2)&gt;1,AQ2,((AO2/80)*AP2*P2))</f>
        <v>0</v>
      </c>
      <c r="AT2">
        <f>IF(AND(M2="F",N2&lt;&gt;"NG",AS2&lt;&gt;0,AND(AR2&lt;&gt;6,AR2&lt;&gt;36,AR2&lt;&gt;56),AG2&lt;&gt;"A",OR(AG2="H",AJ2="FS")),1,IF(AND(M2="F",N2&lt;&gt;"NG",AS2&lt;&gt;0,AG2="A"),3,0))</f>
        <v>0</v>
      </c>
      <c r="AU2" s="388" t="str">
        <f>IF(AT2=0,"",IF(AND(AT2=1,M2="F",SUMIF(C2:C13,C2,AS2:AS13)&lt;=1),SUMIF(C2:C13,C2,AS2:AS13),IF(AND(AT2=1,M2="F",SUMIF(C2:C13,C2,AS2:AS13)&gt;1),1,"")))</f>
        <v/>
      </c>
      <c r="AV2" s="388" t="str">
        <f>IF(AT2=0,"",IF(AND(AT2=3,M2="F",SUMIF(C2:C13,C2,AS2:AS13)&lt;=1),SUMIF(C2:C13,C2,AS2:AS13),IF(AND(AT2=3,M2="F",SUMIF(C2:C13,C2,AS2:AS13)&gt;1),1,"")))</f>
        <v/>
      </c>
      <c r="AW2" s="388">
        <f>SUMIF(C2:C13,C2,O2:O13)</f>
        <v>2</v>
      </c>
      <c r="AX2" s="388">
        <f>IF(AND(M2="F",AS2&lt;&gt;0),SUMIF(C2:C13,C2,W2:W13),0)</f>
        <v>0</v>
      </c>
      <c r="AY2" s="388" t="str">
        <f>IF(AT2=1,W2,"")</f>
        <v/>
      </c>
      <c r="AZ2" s="388" t="str">
        <f>IF(AT2=3,W2,"")</f>
        <v/>
      </c>
      <c r="BA2" s="388">
        <f>IF(AT2=1,Y2-W2,0)</f>
        <v>0</v>
      </c>
      <c r="BB2" s="388">
        <f t="shared" ref="BB2:BB13" si="0">IF(AND(AT2=1,AK2="E",AU2&gt;=0.75,AW2=1),Health,IF(AND(AT2=1,AK2="E",AU2&gt;=0.75),Health*P2,IF(AND(AT2=1,AK2="E",AU2&gt;=0.5,AW2=1),PTHealth,IF(AND(AT2=1,AK2="E",AU2&gt;=0.5),PTHealth*P2,0))))</f>
        <v>0</v>
      </c>
      <c r="BC2" s="388">
        <f t="shared" ref="BC2:BC13" si="1">IF(AND(AT2=3,AK2="E",AV2&gt;=0.75,AW2=1),Health,IF(AND(AT2=3,AK2="E",AV2&gt;=0.75),Health*P2,IF(AND(AT2=3,AK2="E",AV2&gt;=0.5,AW2=1),PTHealth,IF(AND(AT2=3,AK2="E",AV2&gt;=0.5),PTHealth*P2,0))))</f>
        <v>0</v>
      </c>
      <c r="BD2" s="388">
        <f t="shared" ref="BD2:BD13" si="2">IF(AND(AT2&lt;&gt;0,AX2&gt;=MAXSSDI),SSDI*MAXSSDI*P2,IF(AT2&lt;&gt;0,SSDI*W2,0))</f>
        <v>0</v>
      </c>
      <c r="BE2" s="388">
        <f t="shared" ref="BE2:BE13" si="3">IF(AT2&lt;&gt;0,SSHI*W2,0)</f>
        <v>0</v>
      </c>
      <c r="BF2" s="388">
        <f t="shared" ref="BF2:BF13" si="4">IF(AND(AT2&lt;&gt;0,AN2&lt;&gt;"NE"),VLOOKUP(AN2,Retirement_Rates,3,FALSE)*W2,0)</f>
        <v>0</v>
      </c>
      <c r="BG2" s="388">
        <f t="shared" ref="BG2:BG13" si="5">IF(AND(AT2&lt;&gt;0,AJ2&lt;&gt;"PF"),Life*W2,0)</f>
        <v>0</v>
      </c>
      <c r="BH2" s="388">
        <f t="shared" ref="BH2:BH13" si="6">IF(AND(AT2&lt;&gt;0,AM2="Y"),UI*W2,0)</f>
        <v>0</v>
      </c>
      <c r="BI2" s="388">
        <f t="shared" ref="BI2:BI13" si="7">IF(AND(AT2&lt;&gt;0,N2&lt;&gt;"NR"),DHR*W2,0)</f>
        <v>0</v>
      </c>
      <c r="BJ2" s="388">
        <f t="shared" ref="BJ2:BJ13" si="8">IF(AT2&lt;&gt;0,WC*W2,0)</f>
        <v>0</v>
      </c>
      <c r="BK2" s="388">
        <f t="shared" ref="BK2:BK13" si="9">IF(OR(AND(AT2&lt;&gt;0,AJ2&lt;&gt;"PF",AN2&lt;&gt;"NE",AG2&lt;&gt;"A"),AND(AL2="E",OR(AT2=1,AT2=3))),Sick*W2,0)</f>
        <v>0</v>
      </c>
      <c r="BL2" s="388">
        <f>IF(AT2=1,SUM(BD2:BK2),0)</f>
        <v>0</v>
      </c>
      <c r="BM2" s="388">
        <f>IF(AT2=3,SUM(BD2:BK2),0)</f>
        <v>0</v>
      </c>
      <c r="BN2" s="388">
        <f t="shared" ref="BN2:BN13" si="10">IF(AND(AT2=1,AK2="E",AU2&gt;=0.75,AW2=1),HealthBY,IF(AND(AT2=1,AK2="E",AU2&gt;=0.75),HealthBY*P2,IF(AND(AT2=1,AK2="E",AU2&gt;=0.5,AW2=1),PTHealthBY,IF(AND(AT2=1,AK2="E",AU2&gt;=0.5),PTHealthBY*P2,0))))</f>
        <v>0</v>
      </c>
      <c r="BO2" s="388">
        <f t="shared" ref="BO2:BO13" si="11">IF(AND(AT2=3,AK2="E",AV2&gt;=0.75,AW2=1),HealthBY,IF(AND(AT2=3,AK2="E",AV2&gt;=0.75),HealthBY*P2,IF(AND(AT2=3,AK2="E",AV2&gt;=0.5,AW2=1),PTHealthBY,IF(AND(AT2=3,AK2="E",AV2&gt;=0.5),PTHealthBY*P2,0))))</f>
        <v>0</v>
      </c>
      <c r="BP2" s="388">
        <f t="shared" ref="BP2:BP13" si="12">IF(AND(AT2&lt;&gt;0,(AX2+BA2)&gt;=MAXSSDIBY),SSDIBY*MAXSSDIBY*P2,IF(AT2&lt;&gt;0,SSDIBY*W2,0))</f>
        <v>0</v>
      </c>
      <c r="BQ2" s="388">
        <f t="shared" ref="BQ2:BQ13" si="13">IF(AT2&lt;&gt;0,SSHIBY*W2,0)</f>
        <v>0</v>
      </c>
      <c r="BR2" s="388">
        <f t="shared" ref="BR2:BR13" si="14">IF(AND(AT2&lt;&gt;0,AN2&lt;&gt;"NE"),VLOOKUP(AN2,Retirement_Rates,4,FALSE)*W2,0)</f>
        <v>0</v>
      </c>
      <c r="BS2" s="388">
        <f t="shared" ref="BS2:BS13" si="15">IF(AND(AT2&lt;&gt;0,AJ2&lt;&gt;"PF"),LifeBY*W2,0)</f>
        <v>0</v>
      </c>
      <c r="BT2" s="388">
        <f t="shared" ref="BT2:BT13" si="16">IF(AND(AT2&lt;&gt;0,AM2="Y"),UIBY*W2,0)</f>
        <v>0</v>
      </c>
      <c r="BU2" s="388">
        <f t="shared" ref="BU2:BU13" si="17">IF(AND(AT2&lt;&gt;0,N2&lt;&gt;"NR"),DHRBY*W2,0)</f>
        <v>0</v>
      </c>
      <c r="BV2" s="388">
        <f t="shared" ref="BV2:BV13" si="18">IF(AT2&lt;&gt;0,WCBY*W2,0)</f>
        <v>0</v>
      </c>
      <c r="BW2" s="388">
        <f t="shared" ref="BW2:BW13" si="19">IF(OR(AND(AT2&lt;&gt;0,AJ2&lt;&gt;"PF",AN2&lt;&gt;"NE",AG2&lt;&gt;"A"),AND(AL2="E",OR(AT2=1,AT2=3))),SickBY*W2,0)</f>
        <v>0</v>
      </c>
      <c r="BX2" s="388">
        <f>IF(AT2=1,SUM(BP2:BW2),0)</f>
        <v>0</v>
      </c>
      <c r="BY2" s="388">
        <f>IF(AT2=3,SUM(BP2:BW2),0)</f>
        <v>0</v>
      </c>
      <c r="BZ2" s="388">
        <f>IF(AT2=1,BN2-BB2,0)</f>
        <v>0</v>
      </c>
      <c r="CA2" s="388">
        <f>IF(AT2=3,BO2-BC2,0)</f>
        <v>0</v>
      </c>
      <c r="CB2" s="388">
        <f>BP2-BD2</f>
        <v>0</v>
      </c>
      <c r="CC2" s="388">
        <f t="shared" ref="CC2:CC13" si="20">IF(AT2&lt;&gt;0,SSHICHG*Y2,0)</f>
        <v>0</v>
      </c>
      <c r="CD2" s="388">
        <f t="shared" ref="CD2:CD13" si="21">IF(AND(AT2&lt;&gt;0,AN2&lt;&gt;"NE"),VLOOKUP(AN2,Retirement_Rates,5,FALSE)*Y2,0)</f>
        <v>0</v>
      </c>
      <c r="CE2" s="388">
        <f t="shared" ref="CE2:CE13" si="22">IF(AND(AT2&lt;&gt;0,AJ2&lt;&gt;"PF"),LifeCHG*Y2,0)</f>
        <v>0</v>
      </c>
      <c r="CF2" s="388">
        <f t="shared" ref="CF2:CF13" si="23">IF(AND(AT2&lt;&gt;0,AM2="Y"),UICHG*Y2,0)</f>
        <v>0</v>
      </c>
      <c r="CG2" s="388">
        <f t="shared" ref="CG2:CG13" si="24">IF(AND(AT2&lt;&gt;0,N2&lt;&gt;"NR"),DHRCHG*Y2,0)</f>
        <v>0</v>
      </c>
      <c r="CH2" s="388">
        <f t="shared" ref="CH2:CH13" si="25">IF(AT2&lt;&gt;0,WCCHG*Y2,0)</f>
        <v>0</v>
      </c>
      <c r="CI2" s="388">
        <f t="shared" ref="CI2:CI13" si="26">IF(OR(AND(AT2&lt;&gt;0,AJ2&lt;&gt;"PF",AN2&lt;&gt;"NE",AG2&lt;&gt;"A"),AND(AL2="E",OR(AT2=1,AT2=3))),SickCHG*Y2,0)</f>
        <v>0</v>
      </c>
      <c r="CJ2" s="388">
        <f>IF(AT2=1,SUM(CB2:CI2),0)</f>
        <v>0</v>
      </c>
      <c r="CK2" s="388" t="str">
        <f>IF(AT2=3,SUM(CB2:CI2),"")</f>
        <v/>
      </c>
      <c r="CL2" s="388" t="str">
        <f>IF(OR(N2="NG",AG2="D"),(T2+U2),"")</f>
        <v/>
      </c>
      <c r="CM2" s="388" t="str">
        <f>IF(OR(N2="NG",AG2="D"),V2,"")</f>
        <v/>
      </c>
      <c r="CN2" s="388" t="str">
        <f>E2 &amp; "-" &amp; F2</f>
        <v>0001-00</v>
      </c>
    </row>
    <row r="3" spans="1:92" ht="15.75" thickBot="1" x14ac:dyDescent="0.3">
      <c r="A3" s="377" t="s">
        <v>162</v>
      </c>
      <c r="B3" s="377" t="s">
        <v>163</v>
      </c>
      <c r="C3" s="377" t="s">
        <v>184</v>
      </c>
      <c r="D3" s="377" t="s">
        <v>165</v>
      </c>
      <c r="E3" s="377" t="s">
        <v>166</v>
      </c>
      <c r="F3" s="378" t="s">
        <v>167</v>
      </c>
      <c r="G3" s="377" t="s">
        <v>168</v>
      </c>
      <c r="H3" s="379"/>
      <c r="I3" s="379"/>
      <c r="J3" s="377" t="s">
        <v>169</v>
      </c>
      <c r="K3" s="377" t="s">
        <v>170</v>
      </c>
      <c r="L3" s="377" t="s">
        <v>167</v>
      </c>
      <c r="M3" s="377" t="s">
        <v>171</v>
      </c>
      <c r="N3" s="377" t="s">
        <v>172</v>
      </c>
      <c r="O3" s="380">
        <v>1</v>
      </c>
      <c r="P3" s="386">
        <v>0</v>
      </c>
      <c r="Q3" s="386">
        <v>0</v>
      </c>
      <c r="R3" s="381">
        <v>80</v>
      </c>
      <c r="S3" s="386">
        <v>0</v>
      </c>
      <c r="T3" s="381">
        <v>10241.66</v>
      </c>
      <c r="U3" s="381">
        <v>0</v>
      </c>
      <c r="V3" s="381">
        <v>4066.77</v>
      </c>
      <c r="W3" s="381">
        <v>0</v>
      </c>
      <c r="X3" s="381">
        <v>0</v>
      </c>
      <c r="Y3" s="381">
        <v>0</v>
      </c>
      <c r="Z3" s="381">
        <v>0</v>
      </c>
      <c r="AA3" s="377" t="s">
        <v>185</v>
      </c>
      <c r="AB3" s="377" t="s">
        <v>186</v>
      </c>
      <c r="AC3" s="377" t="s">
        <v>187</v>
      </c>
      <c r="AD3" s="377" t="s">
        <v>188</v>
      </c>
      <c r="AE3" s="377" t="s">
        <v>170</v>
      </c>
      <c r="AF3" s="377" t="s">
        <v>177</v>
      </c>
      <c r="AG3" s="377" t="s">
        <v>178</v>
      </c>
      <c r="AH3" s="382">
        <v>34.06</v>
      </c>
      <c r="AI3" s="382">
        <v>30078.9</v>
      </c>
      <c r="AJ3" s="377" t="s">
        <v>179</v>
      </c>
      <c r="AK3" s="377" t="s">
        <v>180</v>
      </c>
      <c r="AL3" s="377" t="s">
        <v>181</v>
      </c>
      <c r="AM3" s="377" t="s">
        <v>182</v>
      </c>
      <c r="AN3" s="377" t="s">
        <v>66</v>
      </c>
      <c r="AO3" s="380">
        <v>80</v>
      </c>
      <c r="AP3" s="386">
        <v>1</v>
      </c>
      <c r="AQ3" s="386">
        <v>0</v>
      </c>
      <c r="AR3" s="384" t="s">
        <v>183</v>
      </c>
      <c r="AS3" s="388">
        <f t="shared" ref="AS3:AS13" si="27">IF(((AO3/80)*AP3*P3)&gt;1,AQ3,((AO3/80)*AP3*P3))</f>
        <v>0</v>
      </c>
      <c r="AT3">
        <f t="shared" ref="AT3:AT13" si="28">IF(AND(M3="F",N3&lt;&gt;"NG",AS3&lt;&gt;0,AND(AR3&lt;&gt;6,AR3&lt;&gt;36,AR3&lt;&gt;56),AG3&lt;&gt;"A",OR(AG3="H",AJ3="FS")),1,IF(AND(M3="F",N3&lt;&gt;"NG",AS3&lt;&gt;0,AG3="A"),3,0))</f>
        <v>0</v>
      </c>
      <c r="AU3" s="388" t="str">
        <f>IF(AT3=0,"",IF(AND(AT3=1,M3="F",SUMIF(C2:C13,C3,AS2:AS13)&lt;=1),SUMIF(C2:C13,C3,AS2:AS13),IF(AND(AT3=1,M3="F",SUMIF(C2:C13,C3,AS2:AS13)&gt;1),1,"")))</f>
        <v/>
      </c>
      <c r="AV3" s="388" t="str">
        <f>IF(AT3=0,"",IF(AND(AT3=3,M3="F",SUMIF(C2:C13,C3,AS2:AS13)&lt;=1),SUMIF(C2:C13,C3,AS2:AS13),IF(AND(AT3=3,M3="F",SUMIF(C2:C13,C3,AS2:AS13)&gt;1),1,"")))</f>
        <v/>
      </c>
      <c r="AW3" s="388">
        <f>SUMIF(C2:C13,C3,O2:O13)</f>
        <v>2</v>
      </c>
      <c r="AX3" s="388">
        <f>IF(AND(M3="F",AS3&lt;&gt;0),SUMIF(C2:C13,C3,W2:W13),0)</f>
        <v>0</v>
      </c>
      <c r="AY3" s="388" t="str">
        <f t="shared" ref="AY3:AY13" si="29">IF(AT3=1,W3,"")</f>
        <v/>
      </c>
      <c r="AZ3" s="388" t="str">
        <f t="shared" ref="AZ3:AZ13" si="30">IF(AT3=3,W3,"")</f>
        <v/>
      </c>
      <c r="BA3" s="388">
        <f t="shared" ref="BA3:BA13" si="31">IF(AT3=1,Y3-W3,0)</f>
        <v>0</v>
      </c>
      <c r="BB3" s="388">
        <f t="shared" si="0"/>
        <v>0</v>
      </c>
      <c r="BC3" s="388">
        <f t="shared" si="1"/>
        <v>0</v>
      </c>
      <c r="BD3" s="388">
        <f t="shared" si="2"/>
        <v>0</v>
      </c>
      <c r="BE3" s="388">
        <f t="shared" si="3"/>
        <v>0</v>
      </c>
      <c r="BF3" s="388">
        <f t="shared" si="4"/>
        <v>0</v>
      </c>
      <c r="BG3" s="388">
        <f t="shared" si="5"/>
        <v>0</v>
      </c>
      <c r="BH3" s="388">
        <f t="shared" si="6"/>
        <v>0</v>
      </c>
      <c r="BI3" s="388">
        <f t="shared" si="7"/>
        <v>0</v>
      </c>
      <c r="BJ3" s="388">
        <f t="shared" si="8"/>
        <v>0</v>
      </c>
      <c r="BK3" s="388">
        <f t="shared" si="9"/>
        <v>0</v>
      </c>
      <c r="BL3" s="388">
        <f t="shared" ref="BL3:BL13" si="32">IF(AT3=1,SUM(BD3:BK3),0)</f>
        <v>0</v>
      </c>
      <c r="BM3" s="388">
        <f t="shared" ref="BM3:BM13" si="33">IF(AT3=3,SUM(BD3:BK3),0)</f>
        <v>0</v>
      </c>
      <c r="BN3" s="388">
        <f t="shared" si="10"/>
        <v>0</v>
      </c>
      <c r="BO3" s="388">
        <f t="shared" si="11"/>
        <v>0</v>
      </c>
      <c r="BP3" s="388">
        <f t="shared" si="12"/>
        <v>0</v>
      </c>
      <c r="BQ3" s="388">
        <f t="shared" si="13"/>
        <v>0</v>
      </c>
      <c r="BR3" s="388">
        <f t="shared" si="14"/>
        <v>0</v>
      </c>
      <c r="BS3" s="388">
        <f t="shared" si="15"/>
        <v>0</v>
      </c>
      <c r="BT3" s="388">
        <f t="shared" si="16"/>
        <v>0</v>
      </c>
      <c r="BU3" s="388">
        <f t="shared" si="17"/>
        <v>0</v>
      </c>
      <c r="BV3" s="388">
        <f t="shared" si="18"/>
        <v>0</v>
      </c>
      <c r="BW3" s="388">
        <f t="shared" si="19"/>
        <v>0</v>
      </c>
      <c r="BX3" s="388">
        <f t="shared" ref="BX3:BX13" si="34">IF(AT3=1,SUM(BP3:BW3),0)</f>
        <v>0</v>
      </c>
      <c r="BY3" s="388">
        <f t="shared" ref="BY3:BY13" si="35">IF(AT3=3,SUM(BP3:BW3),0)</f>
        <v>0</v>
      </c>
      <c r="BZ3" s="388">
        <f t="shared" ref="BZ3:BZ13" si="36">IF(AT3=1,BN3-BB3,0)</f>
        <v>0</v>
      </c>
      <c r="CA3" s="388">
        <f t="shared" ref="CA3:CA13" si="37">IF(AT3=3,BO3-BC3,0)</f>
        <v>0</v>
      </c>
      <c r="CB3" s="388">
        <f t="shared" ref="CB3:CB13" si="38">BP3-BD3</f>
        <v>0</v>
      </c>
      <c r="CC3" s="388">
        <f t="shared" si="20"/>
        <v>0</v>
      </c>
      <c r="CD3" s="388">
        <f t="shared" si="21"/>
        <v>0</v>
      </c>
      <c r="CE3" s="388">
        <f t="shared" si="22"/>
        <v>0</v>
      </c>
      <c r="CF3" s="388">
        <f t="shared" si="23"/>
        <v>0</v>
      </c>
      <c r="CG3" s="388">
        <f t="shared" si="24"/>
        <v>0</v>
      </c>
      <c r="CH3" s="388">
        <f t="shared" si="25"/>
        <v>0</v>
      </c>
      <c r="CI3" s="388">
        <f t="shared" si="26"/>
        <v>0</v>
      </c>
      <c r="CJ3" s="388">
        <f t="shared" ref="CJ3:CJ13" si="39">IF(AT3=1,SUM(CB3:CI3),0)</f>
        <v>0</v>
      </c>
      <c r="CK3" s="388" t="str">
        <f t="shared" ref="CK3:CK13" si="40">IF(AT3=3,SUM(CB3:CI3),"")</f>
        <v/>
      </c>
      <c r="CL3" s="388" t="str">
        <f t="shared" ref="CL3:CL13" si="41">IF(OR(N3="NG",AG3="D"),(T3+U3),"")</f>
        <v/>
      </c>
      <c r="CM3" s="388" t="str">
        <f t="shared" ref="CM3:CM13" si="42">IF(OR(N3="NG",AG3="D"),V3,"")</f>
        <v/>
      </c>
      <c r="CN3" s="388" t="str">
        <f t="shared" ref="CN3:CN13" si="43">E3 &amp; "-" &amp; F3</f>
        <v>0001-00</v>
      </c>
    </row>
    <row r="4" spans="1:92" ht="15.75" thickBot="1" x14ac:dyDescent="0.3">
      <c r="A4" s="377" t="s">
        <v>162</v>
      </c>
      <c r="B4" s="377" t="s">
        <v>163</v>
      </c>
      <c r="C4" s="377" t="s">
        <v>189</v>
      </c>
      <c r="D4" s="377" t="s">
        <v>190</v>
      </c>
      <c r="E4" s="377" t="s">
        <v>166</v>
      </c>
      <c r="F4" s="378" t="s">
        <v>167</v>
      </c>
      <c r="G4" s="377" t="s">
        <v>168</v>
      </c>
      <c r="H4" s="379"/>
      <c r="I4" s="379"/>
      <c r="J4" s="377" t="s">
        <v>169</v>
      </c>
      <c r="K4" s="377" t="s">
        <v>191</v>
      </c>
      <c r="L4" s="377" t="s">
        <v>167</v>
      </c>
      <c r="M4" s="377" t="s">
        <v>171</v>
      </c>
      <c r="N4" s="377" t="s">
        <v>172</v>
      </c>
      <c r="O4" s="380">
        <v>1</v>
      </c>
      <c r="P4" s="386">
        <v>1</v>
      </c>
      <c r="Q4" s="386">
        <v>1</v>
      </c>
      <c r="R4" s="381">
        <v>80</v>
      </c>
      <c r="S4" s="386">
        <v>1</v>
      </c>
      <c r="T4" s="381">
        <v>73102.53</v>
      </c>
      <c r="U4" s="381">
        <v>0</v>
      </c>
      <c r="V4" s="381">
        <v>23418.06</v>
      </c>
      <c r="W4" s="381">
        <v>115564.8</v>
      </c>
      <c r="X4" s="381">
        <v>36307.47</v>
      </c>
      <c r="Y4" s="381">
        <v>115564.8</v>
      </c>
      <c r="Z4" s="381">
        <v>37811.72</v>
      </c>
      <c r="AA4" s="377" t="s">
        <v>192</v>
      </c>
      <c r="AB4" s="377" t="s">
        <v>193</v>
      </c>
      <c r="AC4" s="377" t="s">
        <v>194</v>
      </c>
      <c r="AD4" s="377" t="s">
        <v>195</v>
      </c>
      <c r="AE4" s="377" t="s">
        <v>191</v>
      </c>
      <c r="AF4" s="377" t="s">
        <v>177</v>
      </c>
      <c r="AG4" s="377" t="s">
        <v>178</v>
      </c>
      <c r="AH4" s="382">
        <v>55.56</v>
      </c>
      <c r="AI4" s="380">
        <v>10463</v>
      </c>
      <c r="AJ4" s="377" t="s">
        <v>179</v>
      </c>
      <c r="AK4" s="377" t="s">
        <v>180</v>
      </c>
      <c r="AL4" s="377" t="s">
        <v>181</v>
      </c>
      <c r="AM4" s="377" t="s">
        <v>181</v>
      </c>
      <c r="AN4" s="377" t="s">
        <v>66</v>
      </c>
      <c r="AO4" s="380">
        <v>80</v>
      </c>
      <c r="AP4" s="386">
        <v>1</v>
      </c>
      <c r="AQ4" s="386">
        <v>1</v>
      </c>
      <c r="AR4" s="384" t="s">
        <v>183</v>
      </c>
      <c r="AS4" s="388">
        <f t="shared" si="27"/>
        <v>1</v>
      </c>
      <c r="AT4">
        <f t="shared" si="28"/>
        <v>1</v>
      </c>
      <c r="AU4" s="388">
        <f>IF(AT4=0,"",IF(AND(AT4=1,M4="F",SUMIF(C2:C13,C4,AS2:AS13)&lt;=1),SUMIF(C2:C13,C4,AS2:AS13),IF(AND(AT4=1,M4="F",SUMIF(C2:C13,C4,AS2:AS13)&gt;1),1,"")))</f>
        <v>1</v>
      </c>
      <c r="AV4" s="388" t="str">
        <f>IF(AT4=0,"",IF(AND(AT4=3,M4="F",SUMIF(C2:C13,C4,AS2:AS13)&lt;=1),SUMIF(C2:C13,C4,AS2:AS13),IF(AND(AT4=3,M4="F",SUMIF(C2:C13,C4,AS2:AS13)&gt;1),1,"")))</f>
        <v/>
      </c>
      <c r="AW4" s="388">
        <f>SUMIF(C2:C13,C4,O2:O13)</f>
        <v>2</v>
      </c>
      <c r="AX4" s="388">
        <f>IF(AND(M4="F",AS4&lt;&gt;0),SUMIF(C2:C13,C4,W2:W13),0)</f>
        <v>115564.8</v>
      </c>
      <c r="AY4" s="388">
        <f t="shared" si="29"/>
        <v>115564.8</v>
      </c>
      <c r="AZ4" s="388" t="str">
        <f t="shared" si="30"/>
        <v/>
      </c>
      <c r="BA4" s="388">
        <f t="shared" si="31"/>
        <v>0</v>
      </c>
      <c r="BB4" s="388">
        <f t="shared" si="0"/>
        <v>12500</v>
      </c>
      <c r="BC4" s="388">
        <f t="shared" si="1"/>
        <v>0</v>
      </c>
      <c r="BD4" s="388">
        <f t="shared" si="2"/>
        <v>7165.0176000000001</v>
      </c>
      <c r="BE4" s="388">
        <f t="shared" si="3"/>
        <v>1675.6896000000002</v>
      </c>
      <c r="BF4" s="388">
        <f t="shared" si="4"/>
        <v>13798.437120000001</v>
      </c>
      <c r="BG4" s="388">
        <f t="shared" si="5"/>
        <v>833.22220800000002</v>
      </c>
      <c r="BH4" s="388">
        <f t="shared" si="6"/>
        <v>0</v>
      </c>
      <c r="BI4" s="388">
        <f t="shared" si="7"/>
        <v>0</v>
      </c>
      <c r="BJ4" s="388">
        <f t="shared" si="8"/>
        <v>335.13792000000001</v>
      </c>
      <c r="BK4" s="388">
        <f t="shared" si="9"/>
        <v>0</v>
      </c>
      <c r="BL4" s="388">
        <f t="shared" si="32"/>
        <v>23807.504448</v>
      </c>
      <c r="BM4" s="388">
        <f t="shared" si="33"/>
        <v>0</v>
      </c>
      <c r="BN4" s="388">
        <f t="shared" si="10"/>
        <v>13750</v>
      </c>
      <c r="BO4" s="388">
        <f t="shared" si="11"/>
        <v>0</v>
      </c>
      <c r="BP4" s="388">
        <f t="shared" si="12"/>
        <v>7165.0176000000001</v>
      </c>
      <c r="BQ4" s="388">
        <f t="shared" si="13"/>
        <v>1675.6896000000002</v>
      </c>
      <c r="BR4" s="388">
        <f t="shared" si="14"/>
        <v>12920.14464</v>
      </c>
      <c r="BS4" s="388">
        <f t="shared" si="15"/>
        <v>833.22220800000002</v>
      </c>
      <c r="BT4" s="388">
        <f t="shared" si="16"/>
        <v>0</v>
      </c>
      <c r="BU4" s="388">
        <f t="shared" si="17"/>
        <v>0</v>
      </c>
      <c r="BV4" s="388">
        <f t="shared" si="18"/>
        <v>1467.6729599999999</v>
      </c>
      <c r="BW4" s="388">
        <f t="shared" si="19"/>
        <v>0</v>
      </c>
      <c r="BX4" s="388">
        <f t="shared" si="34"/>
        <v>24061.747008000002</v>
      </c>
      <c r="BY4" s="388">
        <f t="shared" si="35"/>
        <v>0</v>
      </c>
      <c r="BZ4" s="388">
        <f t="shared" si="36"/>
        <v>1250</v>
      </c>
      <c r="CA4" s="388">
        <f t="shared" si="37"/>
        <v>0</v>
      </c>
      <c r="CB4" s="388">
        <f t="shared" si="38"/>
        <v>0</v>
      </c>
      <c r="CC4" s="388">
        <f t="shared" si="20"/>
        <v>0</v>
      </c>
      <c r="CD4" s="388">
        <f t="shared" si="21"/>
        <v>-878.29248000000109</v>
      </c>
      <c r="CE4" s="388">
        <f t="shared" si="22"/>
        <v>0</v>
      </c>
      <c r="CF4" s="388">
        <f t="shared" si="23"/>
        <v>0</v>
      </c>
      <c r="CG4" s="388">
        <f t="shared" si="24"/>
        <v>0</v>
      </c>
      <c r="CH4" s="388">
        <f t="shared" si="25"/>
        <v>1132.53504</v>
      </c>
      <c r="CI4" s="388">
        <f t="shared" si="26"/>
        <v>0</v>
      </c>
      <c r="CJ4" s="388">
        <f t="shared" si="39"/>
        <v>254.24255999999889</v>
      </c>
      <c r="CK4" s="388" t="str">
        <f t="shared" si="40"/>
        <v/>
      </c>
      <c r="CL4" s="388" t="str">
        <f t="shared" si="41"/>
        <v/>
      </c>
      <c r="CM4" s="388" t="str">
        <f t="shared" si="42"/>
        <v/>
      </c>
      <c r="CN4" s="388" t="str">
        <f t="shared" si="43"/>
        <v>0001-00</v>
      </c>
    </row>
    <row r="5" spans="1:92" ht="15.75" thickBot="1" x14ac:dyDescent="0.3">
      <c r="A5" s="377" t="s">
        <v>162</v>
      </c>
      <c r="B5" s="377" t="s">
        <v>163</v>
      </c>
      <c r="C5" s="377" t="s">
        <v>196</v>
      </c>
      <c r="D5" s="377" t="s">
        <v>197</v>
      </c>
      <c r="E5" s="377" t="s">
        <v>166</v>
      </c>
      <c r="F5" s="378" t="s">
        <v>167</v>
      </c>
      <c r="G5" s="377" t="s">
        <v>168</v>
      </c>
      <c r="H5" s="379"/>
      <c r="I5" s="379"/>
      <c r="J5" s="377" t="s">
        <v>169</v>
      </c>
      <c r="K5" s="377" t="s">
        <v>198</v>
      </c>
      <c r="L5" s="377" t="s">
        <v>167</v>
      </c>
      <c r="M5" s="377" t="s">
        <v>171</v>
      </c>
      <c r="N5" s="377" t="s">
        <v>199</v>
      </c>
      <c r="O5" s="380">
        <v>0</v>
      </c>
      <c r="P5" s="386">
        <v>1</v>
      </c>
      <c r="Q5" s="386">
        <v>0</v>
      </c>
      <c r="R5" s="381">
        <v>0</v>
      </c>
      <c r="S5" s="386">
        <v>0</v>
      </c>
      <c r="T5" s="381">
        <v>525</v>
      </c>
      <c r="U5" s="381">
        <v>0</v>
      </c>
      <c r="V5" s="381">
        <v>102.87</v>
      </c>
      <c r="W5" s="381">
        <v>1925</v>
      </c>
      <c r="X5" s="381">
        <v>353.26</v>
      </c>
      <c r="Y5" s="381">
        <v>1925</v>
      </c>
      <c r="Z5" s="381">
        <v>353.26</v>
      </c>
      <c r="AA5" s="379"/>
      <c r="AB5" s="379"/>
      <c r="AC5" s="379"/>
      <c r="AD5" s="379"/>
      <c r="AE5" s="379"/>
      <c r="AF5" s="379"/>
      <c r="AG5" s="379"/>
      <c r="AH5" s="380">
        <v>0</v>
      </c>
      <c r="AI5" s="380">
        <v>0</v>
      </c>
      <c r="AJ5" s="379"/>
      <c r="AK5" s="379"/>
      <c r="AL5" s="377" t="s">
        <v>181</v>
      </c>
      <c r="AM5" s="379"/>
      <c r="AN5" s="379"/>
      <c r="AO5" s="380">
        <v>0</v>
      </c>
      <c r="AP5" s="386">
        <v>0</v>
      </c>
      <c r="AQ5" s="386">
        <v>0</v>
      </c>
      <c r="AR5" s="385"/>
      <c r="AS5" s="388">
        <f t="shared" si="27"/>
        <v>0</v>
      </c>
      <c r="AT5">
        <f t="shared" si="28"/>
        <v>0</v>
      </c>
      <c r="AU5" s="388" t="str">
        <f>IF(AT5=0,"",IF(AND(AT5=1,M5="F",SUMIF(C2:C13,C5,AS2:AS13)&lt;=1),SUMIF(C2:C13,C5,AS2:AS13),IF(AND(AT5=1,M5="F",SUMIF(C2:C13,C5,AS2:AS13)&gt;1),1,"")))</f>
        <v/>
      </c>
      <c r="AV5" s="388" t="str">
        <f>IF(AT5=0,"",IF(AND(AT5=3,M5="F",SUMIF(C2:C13,C5,AS2:AS13)&lt;=1),SUMIF(C2:C13,C5,AS2:AS13),IF(AND(AT5=3,M5="F",SUMIF(C2:C13,C5,AS2:AS13)&gt;1),1,"")))</f>
        <v/>
      </c>
      <c r="AW5" s="388">
        <f>SUMIF(C2:C13,C5,O2:O13)</f>
        <v>0</v>
      </c>
      <c r="AX5" s="388">
        <f>IF(AND(M5="F",AS5&lt;&gt;0),SUMIF(C2:C13,C5,W2:W13),0)</f>
        <v>0</v>
      </c>
      <c r="AY5" s="388" t="str">
        <f t="shared" si="29"/>
        <v/>
      </c>
      <c r="AZ5" s="388" t="str">
        <f t="shared" si="30"/>
        <v/>
      </c>
      <c r="BA5" s="388">
        <f t="shared" si="31"/>
        <v>0</v>
      </c>
      <c r="BB5" s="388">
        <f t="shared" si="0"/>
        <v>0</v>
      </c>
      <c r="BC5" s="388">
        <f t="shared" si="1"/>
        <v>0</v>
      </c>
      <c r="BD5" s="388">
        <f t="shared" si="2"/>
        <v>0</v>
      </c>
      <c r="BE5" s="388">
        <f t="shared" si="3"/>
        <v>0</v>
      </c>
      <c r="BF5" s="388">
        <f t="shared" si="4"/>
        <v>0</v>
      </c>
      <c r="BG5" s="388">
        <f t="shared" si="5"/>
        <v>0</v>
      </c>
      <c r="BH5" s="388">
        <f t="shared" si="6"/>
        <v>0</v>
      </c>
      <c r="BI5" s="388">
        <f t="shared" si="7"/>
        <v>0</v>
      </c>
      <c r="BJ5" s="388">
        <f t="shared" si="8"/>
        <v>0</v>
      </c>
      <c r="BK5" s="388">
        <f t="shared" si="9"/>
        <v>0</v>
      </c>
      <c r="BL5" s="388">
        <f t="shared" si="32"/>
        <v>0</v>
      </c>
      <c r="BM5" s="388">
        <f t="shared" si="33"/>
        <v>0</v>
      </c>
      <c r="BN5" s="388">
        <f t="shared" si="10"/>
        <v>0</v>
      </c>
      <c r="BO5" s="388">
        <f t="shared" si="11"/>
        <v>0</v>
      </c>
      <c r="BP5" s="388">
        <f t="shared" si="12"/>
        <v>0</v>
      </c>
      <c r="BQ5" s="388">
        <f t="shared" si="13"/>
        <v>0</v>
      </c>
      <c r="BR5" s="388">
        <f t="shared" si="14"/>
        <v>0</v>
      </c>
      <c r="BS5" s="388">
        <f t="shared" si="15"/>
        <v>0</v>
      </c>
      <c r="BT5" s="388">
        <f t="shared" si="16"/>
        <v>0</v>
      </c>
      <c r="BU5" s="388">
        <f t="shared" si="17"/>
        <v>0</v>
      </c>
      <c r="BV5" s="388">
        <f t="shared" si="18"/>
        <v>0</v>
      </c>
      <c r="BW5" s="388">
        <f t="shared" si="19"/>
        <v>0</v>
      </c>
      <c r="BX5" s="388">
        <f t="shared" si="34"/>
        <v>0</v>
      </c>
      <c r="BY5" s="388">
        <f t="shared" si="35"/>
        <v>0</v>
      </c>
      <c r="BZ5" s="388">
        <f t="shared" si="36"/>
        <v>0</v>
      </c>
      <c r="CA5" s="388">
        <f t="shared" si="37"/>
        <v>0</v>
      </c>
      <c r="CB5" s="388">
        <f t="shared" si="38"/>
        <v>0</v>
      </c>
      <c r="CC5" s="388">
        <f t="shared" si="20"/>
        <v>0</v>
      </c>
      <c r="CD5" s="388">
        <f t="shared" si="21"/>
        <v>0</v>
      </c>
      <c r="CE5" s="388">
        <f t="shared" si="22"/>
        <v>0</v>
      </c>
      <c r="CF5" s="388">
        <f t="shared" si="23"/>
        <v>0</v>
      </c>
      <c r="CG5" s="388">
        <f t="shared" si="24"/>
        <v>0</v>
      </c>
      <c r="CH5" s="388">
        <f t="shared" si="25"/>
        <v>0</v>
      </c>
      <c r="CI5" s="388">
        <f t="shared" si="26"/>
        <v>0</v>
      </c>
      <c r="CJ5" s="388">
        <f t="shared" si="39"/>
        <v>0</v>
      </c>
      <c r="CK5" s="388" t="str">
        <f t="shared" si="40"/>
        <v/>
      </c>
      <c r="CL5" s="388">
        <f t="shared" si="41"/>
        <v>525</v>
      </c>
      <c r="CM5" s="388">
        <f t="shared" si="42"/>
        <v>102.87</v>
      </c>
      <c r="CN5" s="388" t="str">
        <f t="shared" si="43"/>
        <v>0001-00</v>
      </c>
    </row>
    <row r="6" spans="1:92" ht="15.75" thickBot="1" x14ac:dyDescent="0.3">
      <c r="A6" s="377" t="s">
        <v>162</v>
      </c>
      <c r="B6" s="377" t="s">
        <v>163</v>
      </c>
      <c r="C6" s="377" t="s">
        <v>200</v>
      </c>
      <c r="D6" s="377" t="s">
        <v>201</v>
      </c>
      <c r="E6" s="377" t="s">
        <v>166</v>
      </c>
      <c r="F6" s="378" t="s">
        <v>167</v>
      </c>
      <c r="G6" s="377" t="s">
        <v>168</v>
      </c>
      <c r="H6" s="379"/>
      <c r="I6" s="379"/>
      <c r="J6" s="377" t="s">
        <v>169</v>
      </c>
      <c r="K6" s="377" t="s">
        <v>202</v>
      </c>
      <c r="L6" s="377" t="s">
        <v>203</v>
      </c>
      <c r="M6" s="377" t="s">
        <v>204</v>
      </c>
      <c r="N6" s="377" t="s">
        <v>205</v>
      </c>
      <c r="O6" s="380">
        <v>0</v>
      </c>
      <c r="P6" s="386">
        <v>0</v>
      </c>
      <c r="Q6" s="386">
        <v>0</v>
      </c>
      <c r="R6" s="381">
        <v>80</v>
      </c>
      <c r="S6" s="386">
        <v>0</v>
      </c>
      <c r="T6" s="381">
        <v>3254.24</v>
      </c>
      <c r="U6" s="381">
        <v>0</v>
      </c>
      <c r="V6" s="381">
        <v>1005.99</v>
      </c>
      <c r="W6" s="381">
        <v>0</v>
      </c>
      <c r="X6" s="381">
        <v>0</v>
      </c>
      <c r="Y6" s="381">
        <v>0</v>
      </c>
      <c r="Z6" s="381">
        <v>0</v>
      </c>
      <c r="AA6" s="379"/>
      <c r="AB6" s="379"/>
      <c r="AC6" s="379"/>
      <c r="AD6" s="379"/>
      <c r="AE6" s="379"/>
      <c r="AF6" s="379"/>
      <c r="AG6" s="379"/>
      <c r="AH6" s="380">
        <v>0</v>
      </c>
      <c r="AI6" s="380">
        <v>0</v>
      </c>
      <c r="AJ6" s="379"/>
      <c r="AK6" s="379"/>
      <c r="AL6" s="377" t="s">
        <v>181</v>
      </c>
      <c r="AM6" s="379"/>
      <c r="AN6" s="379"/>
      <c r="AO6" s="380">
        <v>0</v>
      </c>
      <c r="AP6" s="386">
        <v>0</v>
      </c>
      <c r="AQ6" s="386">
        <v>0</v>
      </c>
      <c r="AR6" s="385"/>
      <c r="AS6" s="388">
        <f t="shared" si="27"/>
        <v>0</v>
      </c>
      <c r="AT6">
        <f t="shared" si="28"/>
        <v>0</v>
      </c>
      <c r="AU6" s="388" t="str">
        <f>IF(AT6=0,"",IF(AND(AT6=1,M6="F",SUMIF(C2:C13,C6,AS2:AS13)&lt;=1),SUMIF(C2:C13,C6,AS2:AS13),IF(AND(AT6=1,M6="F",SUMIF(C2:C13,C6,AS2:AS13)&gt;1),1,"")))</f>
        <v/>
      </c>
      <c r="AV6" s="388" t="str">
        <f>IF(AT6=0,"",IF(AND(AT6=3,M6="F",SUMIF(C2:C13,C6,AS2:AS13)&lt;=1),SUMIF(C2:C13,C6,AS2:AS13),IF(AND(AT6=3,M6="F",SUMIF(C2:C13,C6,AS2:AS13)&gt;1),1,"")))</f>
        <v/>
      </c>
      <c r="AW6" s="388">
        <f>SUMIF(C2:C13,C6,O2:O13)</f>
        <v>0</v>
      </c>
      <c r="AX6" s="388">
        <f>IF(AND(M6="F",AS6&lt;&gt;0),SUMIF(C2:C13,C6,W2:W13),0)</f>
        <v>0</v>
      </c>
      <c r="AY6" s="388" t="str">
        <f t="shared" si="29"/>
        <v/>
      </c>
      <c r="AZ6" s="388" t="str">
        <f t="shared" si="30"/>
        <v/>
      </c>
      <c r="BA6" s="388">
        <f t="shared" si="31"/>
        <v>0</v>
      </c>
      <c r="BB6" s="388">
        <f t="shared" si="0"/>
        <v>0</v>
      </c>
      <c r="BC6" s="388">
        <f t="shared" si="1"/>
        <v>0</v>
      </c>
      <c r="BD6" s="388">
        <f t="shared" si="2"/>
        <v>0</v>
      </c>
      <c r="BE6" s="388">
        <f t="shared" si="3"/>
        <v>0</v>
      </c>
      <c r="BF6" s="388">
        <f t="shared" si="4"/>
        <v>0</v>
      </c>
      <c r="BG6" s="388">
        <f t="shared" si="5"/>
        <v>0</v>
      </c>
      <c r="BH6" s="388">
        <f t="shared" si="6"/>
        <v>0</v>
      </c>
      <c r="BI6" s="388">
        <f t="shared" si="7"/>
        <v>0</v>
      </c>
      <c r="BJ6" s="388">
        <f t="shared" si="8"/>
        <v>0</v>
      </c>
      <c r="BK6" s="388">
        <f t="shared" si="9"/>
        <v>0</v>
      </c>
      <c r="BL6" s="388">
        <f t="shared" si="32"/>
        <v>0</v>
      </c>
      <c r="BM6" s="388">
        <f t="shared" si="33"/>
        <v>0</v>
      </c>
      <c r="BN6" s="388">
        <f t="shared" si="10"/>
        <v>0</v>
      </c>
      <c r="BO6" s="388">
        <f t="shared" si="11"/>
        <v>0</v>
      </c>
      <c r="BP6" s="388">
        <f t="shared" si="12"/>
        <v>0</v>
      </c>
      <c r="BQ6" s="388">
        <f t="shared" si="13"/>
        <v>0</v>
      </c>
      <c r="BR6" s="388">
        <f t="shared" si="14"/>
        <v>0</v>
      </c>
      <c r="BS6" s="388">
        <f t="shared" si="15"/>
        <v>0</v>
      </c>
      <c r="BT6" s="388">
        <f t="shared" si="16"/>
        <v>0</v>
      </c>
      <c r="BU6" s="388">
        <f t="shared" si="17"/>
        <v>0</v>
      </c>
      <c r="BV6" s="388">
        <f t="shared" si="18"/>
        <v>0</v>
      </c>
      <c r="BW6" s="388">
        <f t="shared" si="19"/>
        <v>0</v>
      </c>
      <c r="BX6" s="388">
        <f t="shared" si="34"/>
        <v>0</v>
      </c>
      <c r="BY6" s="388">
        <f t="shared" si="35"/>
        <v>0</v>
      </c>
      <c r="BZ6" s="388">
        <f t="shared" si="36"/>
        <v>0</v>
      </c>
      <c r="CA6" s="388">
        <f t="shared" si="37"/>
        <v>0</v>
      </c>
      <c r="CB6" s="388">
        <f t="shared" si="38"/>
        <v>0</v>
      </c>
      <c r="CC6" s="388">
        <f t="shared" si="20"/>
        <v>0</v>
      </c>
      <c r="CD6" s="388">
        <f t="shared" si="21"/>
        <v>0</v>
      </c>
      <c r="CE6" s="388">
        <f t="shared" si="22"/>
        <v>0</v>
      </c>
      <c r="CF6" s="388">
        <f t="shared" si="23"/>
        <v>0</v>
      </c>
      <c r="CG6" s="388">
        <f t="shared" si="24"/>
        <v>0</v>
      </c>
      <c r="CH6" s="388">
        <f t="shared" si="25"/>
        <v>0</v>
      </c>
      <c r="CI6" s="388">
        <f t="shared" si="26"/>
        <v>0</v>
      </c>
      <c r="CJ6" s="388">
        <f t="shared" si="39"/>
        <v>0</v>
      </c>
      <c r="CK6" s="388" t="str">
        <f t="shared" si="40"/>
        <v/>
      </c>
      <c r="CL6" s="388" t="str">
        <f t="shared" si="41"/>
        <v/>
      </c>
      <c r="CM6" s="388" t="str">
        <f t="shared" si="42"/>
        <v/>
      </c>
      <c r="CN6" s="388" t="str">
        <f t="shared" si="43"/>
        <v>0001-00</v>
      </c>
    </row>
    <row r="7" spans="1:92" ht="15.75" thickBot="1" x14ac:dyDescent="0.3">
      <c r="A7" s="377" t="s">
        <v>162</v>
      </c>
      <c r="B7" s="377" t="s">
        <v>163</v>
      </c>
      <c r="C7" s="377" t="s">
        <v>206</v>
      </c>
      <c r="D7" s="377" t="s">
        <v>207</v>
      </c>
      <c r="E7" s="377" t="s">
        <v>166</v>
      </c>
      <c r="F7" s="378" t="s">
        <v>167</v>
      </c>
      <c r="G7" s="377" t="s">
        <v>168</v>
      </c>
      <c r="H7" s="379"/>
      <c r="I7" s="379"/>
      <c r="J7" s="377" t="s">
        <v>169</v>
      </c>
      <c r="K7" s="377" t="s">
        <v>208</v>
      </c>
      <c r="L7" s="377" t="s">
        <v>181</v>
      </c>
      <c r="M7" s="377" t="s">
        <v>171</v>
      </c>
      <c r="N7" s="377" t="s">
        <v>172</v>
      </c>
      <c r="O7" s="380">
        <v>1</v>
      </c>
      <c r="P7" s="386">
        <v>0</v>
      </c>
      <c r="Q7" s="386">
        <v>0</v>
      </c>
      <c r="R7" s="381">
        <v>80</v>
      </c>
      <c r="S7" s="386">
        <v>0</v>
      </c>
      <c r="T7" s="381">
        <v>1384.8</v>
      </c>
      <c r="U7" s="381">
        <v>0</v>
      </c>
      <c r="V7" s="381">
        <v>534.32000000000005</v>
      </c>
      <c r="W7" s="381">
        <v>0</v>
      </c>
      <c r="X7" s="381">
        <v>0</v>
      </c>
      <c r="Y7" s="381">
        <v>0</v>
      </c>
      <c r="Z7" s="381">
        <v>0</v>
      </c>
      <c r="AA7" s="377" t="s">
        <v>209</v>
      </c>
      <c r="AB7" s="377" t="s">
        <v>210</v>
      </c>
      <c r="AC7" s="377" t="s">
        <v>211</v>
      </c>
      <c r="AD7" s="377" t="s">
        <v>212</v>
      </c>
      <c r="AE7" s="377" t="s">
        <v>208</v>
      </c>
      <c r="AF7" s="377" t="s">
        <v>177</v>
      </c>
      <c r="AG7" s="377" t="s">
        <v>178</v>
      </c>
      <c r="AH7" s="382">
        <v>35.659999999999997</v>
      </c>
      <c r="AI7" s="380">
        <v>200</v>
      </c>
      <c r="AJ7" s="377" t="s">
        <v>179</v>
      </c>
      <c r="AK7" s="377" t="s">
        <v>180</v>
      </c>
      <c r="AL7" s="377" t="s">
        <v>181</v>
      </c>
      <c r="AM7" s="377" t="s">
        <v>182</v>
      </c>
      <c r="AN7" s="377" t="s">
        <v>66</v>
      </c>
      <c r="AO7" s="380">
        <v>80</v>
      </c>
      <c r="AP7" s="386">
        <v>1</v>
      </c>
      <c r="AQ7" s="386">
        <v>0</v>
      </c>
      <c r="AR7" s="384" t="s">
        <v>183</v>
      </c>
      <c r="AS7" s="388">
        <f t="shared" si="27"/>
        <v>0</v>
      </c>
      <c r="AT7">
        <f t="shared" si="28"/>
        <v>0</v>
      </c>
      <c r="AU7" s="388" t="str">
        <f>IF(AT7=0,"",IF(AND(AT7=1,M7="F",SUMIF(C2:C13,C7,AS2:AS13)&lt;=1),SUMIF(C2:C13,C7,AS2:AS13),IF(AND(AT7=1,M7="F",SUMIF(C2:C13,C7,AS2:AS13)&gt;1),1,"")))</f>
        <v/>
      </c>
      <c r="AV7" s="388" t="str">
        <f>IF(AT7=0,"",IF(AND(AT7=3,M7="F",SUMIF(C2:C13,C7,AS2:AS13)&lt;=1),SUMIF(C2:C13,C7,AS2:AS13),IF(AND(AT7=3,M7="F",SUMIF(C2:C13,C7,AS2:AS13)&gt;1),1,"")))</f>
        <v/>
      </c>
      <c r="AW7" s="388">
        <f>SUMIF(C2:C13,C7,O2:O13)</f>
        <v>2</v>
      </c>
      <c r="AX7" s="388">
        <f>IF(AND(M7="F",AS7&lt;&gt;0),SUMIF(C2:C13,C7,W2:W13),0)</f>
        <v>0</v>
      </c>
      <c r="AY7" s="388" t="str">
        <f t="shared" si="29"/>
        <v/>
      </c>
      <c r="AZ7" s="388" t="str">
        <f t="shared" si="30"/>
        <v/>
      </c>
      <c r="BA7" s="388">
        <f t="shared" si="31"/>
        <v>0</v>
      </c>
      <c r="BB7" s="388">
        <f t="shared" si="0"/>
        <v>0</v>
      </c>
      <c r="BC7" s="388">
        <f t="shared" si="1"/>
        <v>0</v>
      </c>
      <c r="BD7" s="388">
        <f t="shared" si="2"/>
        <v>0</v>
      </c>
      <c r="BE7" s="388">
        <f t="shared" si="3"/>
        <v>0</v>
      </c>
      <c r="BF7" s="388">
        <f t="shared" si="4"/>
        <v>0</v>
      </c>
      <c r="BG7" s="388">
        <f t="shared" si="5"/>
        <v>0</v>
      </c>
      <c r="BH7" s="388">
        <f t="shared" si="6"/>
        <v>0</v>
      </c>
      <c r="BI7" s="388">
        <f t="shared" si="7"/>
        <v>0</v>
      </c>
      <c r="BJ7" s="388">
        <f t="shared" si="8"/>
        <v>0</v>
      </c>
      <c r="BK7" s="388">
        <f t="shared" si="9"/>
        <v>0</v>
      </c>
      <c r="BL7" s="388">
        <f t="shared" si="32"/>
        <v>0</v>
      </c>
      <c r="BM7" s="388">
        <f t="shared" si="33"/>
        <v>0</v>
      </c>
      <c r="BN7" s="388">
        <f t="shared" si="10"/>
        <v>0</v>
      </c>
      <c r="BO7" s="388">
        <f t="shared" si="11"/>
        <v>0</v>
      </c>
      <c r="BP7" s="388">
        <f t="shared" si="12"/>
        <v>0</v>
      </c>
      <c r="BQ7" s="388">
        <f t="shared" si="13"/>
        <v>0</v>
      </c>
      <c r="BR7" s="388">
        <f t="shared" si="14"/>
        <v>0</v>
      </c>
      <c r="BS7" s="388">
        <f t="shared" si="15"/>
        <v>0</v>
      </c>
      <c r="BT7" s="388">
        <f t="shared" si="16"/>
        <v>0</v>
      </c>
      <c r="BU7" s="388">
        <f t="shared" si="17"/>
        <v>0</v>
      </c>
      <c r="BV7" s="388">
        <f t="shared" si="18"/>
        <v>0</v>
      </c>
      <c r="BW7" s="388">
        <f t="shared" si="19"/>
        <v>0</v>
      </c>
      <c r="BX7" s="388">
        <f t="shared" si="34"/>
        <v>0</v>
      </c>
      <c r="BY7" s="388">
        <f t="shared" si="35"/>
        <v>0</v>
      </c>
      <c r="BZ7" s="388">
        <f t="shared" si="36"/>
        <v>0</v>
      </c>
      <c r="CA7" s="388">
        <f t="shared" si="37"/>
        <v>0</v>
      </c>
      <c r="CB7" s="388">
        <f t="shared" si="38"/>
        <v>0</v>
      </c>
      <c r="CC7" s="388">
        <f t="shared" si="20"/>
        <v>0</v>
      </c>
      <c r="CD7" s="388">
        <f t="shared" si="21"/>
        <v>0</v>
      </c>
      <c r="CE7" s="388">
        <f t="shared" si="22"/>
        <v>0</v>
      </c>
      <c r="CF7" s="388">
        <f t="shared" si="23"/>
        <v>0</v>
      </c>
      <c r="CG7" s="388">
        <f t="shared" si="24"/>
        <v>0</v>
      </c>
      <c r="CH7" s="388">
        <f t="shared" si="25"/>
        <v>0</v>
      </c>
      <c r="CI7" s="388">
        <f t="shared" si="26"/>
        <v>0</v>
      </c>
      <c r="CJ7" s="388">
        <f t="shared" si="39"/>
        <v>0</v>
      </c>
      <c r="CK7" s="388" t="str">
        <f t="shared" si="40"/>
        <v/>
      </c>
      <c r="CL7" s="388" t="str">
        <f t="shared" si="41"/>
        <v/>
      </c>
      <c r="CM7" s="388" t="str">
        <f t="shared" si="42"/>
        <v/>
      </c>
      <c r="CN7" s="388" t="str">
        <f t="shared" si="43"/>
        <v>0001-00</v>
      </c>
    </row>
    <row r="8" spans="1:92" ht="15.75" thickBot="1" x14ac:dyDescent="0.3">
      <c r="A8" s="377" t="s">
        <v>162</v>
      </c>
      <c r="B8" s="377" t="s">
        <v>163</v>
      </c>
      <c r="C8" s="377" t="s">
        <v>196</v>
      </c>
      <c r="D8" s="377" t="s">
        <v>197</v>
      </c>
      <c r="E8" s="377" t="s">
        <v>213</v>
      </c>
      <c r="F8" s="383" t="s">
        <v>214</v>
      </c>
      <c r="G8" s="377" t="s">
        <v>168</v>
      </c>
      <c r="H8" s="379"/>
      <c r="I8" s="379"/>
      <c r="J8" s="377" t="s">
        <v>169</v>
      </c>
      <c r="K8" s="377" t="s">
        <v>198</v>
      </c>
      <c r="L8" s="377" t="s">
        <v>167</v>
      </c>
      <c r="M8" s="377" t="s">
        <v>171</v>
      </c>
      <c r="N8" s="377" t="s">
        <v>199</v>
      </c>
      <c r="O8" s="380">
        <v>0</v>
      </c>
      <c r="P8" s="386">
        <v>0</v>
      </c>
      <c r="Q8" s="386">
        <v>0</v>
      </c>
      <c r="R8" s="381">
        <v>0</v>
      </c>
      <c r="S8" s="386">
        <v>0</v>
      </c>
      <c r="T8" s="381">
        <v>1400</v>
      </c>
      <c r="U8" s="381">
        <v>0</v>
      </c>
      <c r="V8" s="381">
        <v>250.39</v>
      </c>
      <c r="W8" s="381">
        <v>0</v>
      </c>
      <c r="X8" s="381">
        <v>0</v>
      </c>
      <c r="Y8" s="381">
        <v>0</v>
      </c>
      <c r="Z8" s="381">
        <v>0</v>
      </c>
      <c r="AA8" s="379"/>
      <c r="AB8" s="379"/>
      <c r="AC8" s="379"/>
      <c r="AD8" s="379"/>
      <c r="AE8" s="379"/>
      <c r="AF8" s="379"/>
      <c r="AG8" s="379"/>
      <c r="AH8" s="380">
        <v>0</v>
      </c>
      <c r="AI8" s="380">
        <v>0</v>
      </c>
      <c r="AJ8" s="379"/>
      <c r="AK8" s="379"/>
      <c r="AL8" s="377" t="s">
        <v>181</v>
      </c>
      <c r="AM8" s="379"/>
      <c r="AN8" s="379"/>
      <c r="AO8" s="380">
        <v>0</v>
      </c>
      <c r="AP8" s="386">
        <v>0</v>
      </c>
      <c r="AQ8" s="386">
        <v>0</v>
      </c>
      <c r="AR8" s="385"/>
      <c r="AS8" s="388">
        <f t="shared" si="27"/>
        <v>0</v>
      </c>
      <c r="AT8">
        <f t="shared" si="28"/>
        <v>0</v>
      </c>
      <c r="AU8" s="388" t="str">
        <f>IF(AT8=0,"",IF(AND(AT8=1,M8="F",SUMIF(C2:C13,C8,AS2:AS13)&lt;=1),SUMIF(C2:C13,C8,AS2:AS13),IF(AND(AT8=1,M8="F",SUMIF(C2:C13,C8,AS2:AS13)&gt;1),1,"")))</f>
        <v/>
      </c>
      <c r="AV8" s="388" t="str">
        <f>IF(AT8=0,"",IF(AND(AT8=3,M8="F",SUMIF(C2:C13,C8,AS2:AS13)&lt;=1),SUMIF(C2:C13,C8,AS2:AS13),IF(AND(AT8=3,M8="F",SUMIF(C2:C13,C8,AS2:AS13)&gt;1),1,"")))</f>
        <v/>
      </c>
      <c r="AW8" s="388">
        <f>SUMIF(C2:C13,C8,O2:O13)</f>
        <v>0</v>
      </c>
      <c r="AX8" s="388">
        <f>IF(AND(M8="F",AS8&lt;&gt;0),SUMIF(C2:C13,C8,W2:W13),0)</f>
        <v>0</v>
      </c>
      <c r="AY8" s="388" t="str">
        <f t="shared" si="29"/>
        <v/>
      </c>
      <c r="AZ8" s="388" t="str">
        <f t="shared" si="30"/>
        <v/>
      </c>
      <c r="BA8" s="388">
        <f t="shared" si="31"/>
        <v>0</v>
      </c>
      <c r="BB8" s="388">
        <f t="shared" si="0"/>
        <v>0</v>
      </c>
      <c r="BC8" s="388">
        <f t="shared" si="1"/>
        <v>0</v>
      </c>
      <c r="BD8" s="388">
        <f t="shared" si="2"/>
        <v>0</v>
      </c>
      <c r="BE8" s="388">
        <f t="shared" si="3"/>
        <v>0</v>
      </c>
      <c r="BF8" s="388">
        <f t="shared" si="4"/>
        <v>0</v>
      </c>
      <c r="BG8" s="388">
        <f t="shared" si="5"/>
        <v>0</v>
      </c>
      <c r="BH8" s="388">
        <f t="shared" si="6"/>
        <v>0</v>
      </c>
      <c r="BI8" s="388">
        <f t="shared" si="7"/>
        <v>0</v>
      </c>
      <c r="BJ8" s="388">
        <f t="shared" si="8"/>
        <v>0</v>
      </c>
      <c r="BK8" s="388">
        <f t="shared" si="9"/>
        <v>0</v>
      </c>
      <c r="BL8" s="388">
        <f t="shared" si="32"/>
        <v>0</v>
      </c>
      <c r="BM8" s="388">
        <f t="shared" si="33"/>
        <v>0</v>
      </c>
      <c r="BN8" s="388">
        <f t="shared" si="10"/>
        <v>0</v>
      </c>
      <c r="BO8" s="388">
        <f t="shared" si="11"/>
        <v>0</v>
      </c>
      <c r="BP8" s="388">
        <f t="shared" si="12"/>
        <v>0</v>
      </c>
      <c r="BQ8" s="388">
        <f t="shared" si="13"/>
        <v>0</v>
      </c>
      <c r="BR8" s="388">
        <f t="shared" si="14"/>
        <v>0</v>
      </c>
      <c r="BS8" s="388">
        <f t="shared" si="15"/>
        <v>0</v>
      </c>
      <c r="BT8" s="388">
        <f t="shared" si="16"/>
        <v>0</v>
      </c>
      <c r="BU8" s="388">
        <f t="shared" si="17"/>
        <v>0</v>
      </c>
      <c r="BV8" s="388">
        <f t="shared" si="18"/>
        <v>0</v>
      </c>
      <c r="BW8" s="388">
        <f t="shared" si="19"/>
        <v>0</v>
      </c>
      <c r="BX8" s="388">
        <f t="shared" si="34"/>
        <v>0</v>
      </c>
      <c r="BY8" s="388">
        <f t="shared" si="35"/>
        <v>0</v>
      </c>
      <c r="BZ8" s="388">
        <f t="shared" si="36"/>
        <v>0</v>
      </c>
      <c r="CA8" s="388">
        <f t="shared" si="37"/>
        <v>0</v>
      </c>
      <c r="CB8" s="388">
        <f t="shared" si="38"/>
        <v>0</v>
      </c>
      <c r="CC8" s="388">
        <f t="shared" si="20"/>
        <v>0</v>
      </c>
      <c r="CD8" s="388">
        <f t="shared" si="21"/>
        <v>0</v>
      </c>
      <c r="CE8" s="388">
        <f t="shared" si="22"/>
        <v>0</v>
      </c>
      <c r="CF8" s="388">
        <f t="shared" si="23"/>
        <v>0</v>
      </c>
      <c r="CG8" s="388">
        <f t="shared" si="24"/>
        <v>0</v>
      </c>
      <c r="CH8" s="388">
        <f t="shared" si="25"/>
        <v>0</v>
      </c>
      <c r="CI8" s="388">
        <f t="shared" si="26"/>
        <v>0</v>
      </c>
      <c r="CJ8" s="388">
        <f t="shared" si="39"/>
        <v>0</v>
      </c>
      <c r="CK8" s="388" t="str">
        <f t="shared" si="40"/>
        <v/>
      </c>
      <c r="CL8" s="388">
        <f t="shared" si="41"/>
        <v>1400</v>
      </c>
      <c r="CM8" s="388">
        <f t="shared" si="42"/>
        <v>250.39</v>
      </c>
      <c r="CN8" s="388" t="str">
        <f t="shared" si="43"/>
        <v>0325-33</v>
      </c>
    </row>
    <row r="9" spans="1:92" ht="15.75" thickBot="1" x14ac:dyDescent="0.3">
      <c r="A9" s="377" t="s">
        <v>162</v>
      </c>
      <c r="B9" s="377" t="s">
        <v>163</v>
      </c>
      <c r="C9" s="377" t="s">
        <v>206</v>
      </c>
      <c r="D9" s="377" t="s">
        <v>207</v>
      </c>
      <c r="E9" s="377" t="s">
        <v>213</v>
      </c>
      <c r="F9" s="383" t="s">
        <v>214</v>
      </c>
      <c r="G9" s="377" t="s">
        <v>168</v>
      </c>
      <c r="H9" s="379"/>
      <c r="I9" s="379"/>
      <c r="J9" s="377" t="s">
        <v>169</v>
      </c>
      <c r="K9" s="377" t="s">
        <v>208</v>
      </c>
      <c r="L9" s="377" t="s">
        <v>181</v>
      </c>
      <c r="M9" s="377" t="s">
        <v>171</v>
      </c>
      <c r="N9" s="377" t="s">
        <v>172</v>
      </c>
      <c r="O9" s="380">
        <v>1</v>
      </c>
      <c r="P9" s="386">
        <v>1</v>
      </c>
      <c r="Q9" s="386">
        <v>1</v>
      </c>
      <c r="R9" s="381">
        <v>80</v>
      </c>
      <c r="S9" s="386">
        <v>1</v>
      </c>
      <c r="T9" s="381">
        <v>61339.199999999997</v>
      </c>
      <c r="U9" s="381">
        <v>0</v>
      </c>
      <c r="V9" s="381">
        <v>22924.53</v>
      </c>
      <c r="W9" s="381">
        <v>74172.800000000003</v>
      </c>
      <c r="X9" s="381">
        <v>27780.32</v>
      </c>
      <c r="Y9" s="381">
        <v>74172.800000000003</v>
      </c>
      <c r="Z9" s="381">
        <v>29193.49</v>
      </c>
      <c r="AA9" s="377" t="s">
        <v>209</v>
      </c>
      <c r="AB9" s="377" t="s">
        <v>210</v>
      </c>
      <c r="AC9" s="377" t="s">
        <v>211</v>
      </c>
      <c r="AD9" s="377" t="s">
        <v>212</v>
      </c>
      <c r="AE9" s="377" t="s">
        <v>208</v>
      </c>
      <c r="AF9" s="377" t="s">
        <v>177</v>
      </c>
      <c r="AG9" s="377" t="s">
        <v>178</v>
      </c>
      <c r="AH9" s="382">
        <v>35.659999999999997</v>
      </c>
      <c r="AI9" s="380">
        <v>200</v>
      </c>
      <c r="AJ9" s="377" t="s">
        <v>179</v>
      </c>
      <c r="AK9" s="377" t="s">
        <v>180</v>
      </c>
      <c r="AL9" s="377" t="s">
        <v>181</v>
      </c>
      <c r="AM9" s="377" t="s">
        <v>182</v>
      </c>
      <c r="AN9" s="377" t="s">
        <v>66</v>
      </c>
      <c r="AO9" s="380">
        <v>80</v>
      </c>
      <c r="AP9" s="386">
        <v>1</v>
      </c>
      <c r="AQ9" s="386">
        <v>1</v>
      </c>
      <c r="AR9" s="384" t="s">
        <v>183</v>
      </c>
      <c r="AS9" s="388">
        <f t="shared" si="27"/>
        <v>1</v>
      </c>
      <c r="AT9">
        <f t="shared" si="28"/>
        <v>1</v>
      </c>
      <c r="AU9" s="388">
        <f>IF(AT9=0,"",IF(AND(AT9=1,M9="F",SUMIF(C2:C13,C9,AS2:AS13)&lt;=1),SUMIF(C2:C13,C9,AS2:AS13),IF(AND(AT9=1,M9="F",SUMIF(C2:C13,C9,AS2:AS13)&gt;1),1,"")))</f>
        <v>1</v>
      </c>
      <c r="AV9" s="388" t="str">
        <f>IF(AT9=0,"",IF(AND(AT9=3,M9="F",SUMIF(C2:C13,C9,AS2:AS13)&lt;=1),SUMIF(C2:C13,C9,AS2:AS13),IF(AND(AT9=3,M9="F",SUMIF(C2:C13,C9,AS2:AS13)&gt;1),1,"")))</f>
        <v/>
      </c>
      <c r="AW9" s="388">
        <f>SUMIF(C2:C13,C9,O2:O13)</f>
        <v>2</v>
      </c>
      <c r="AX9" s="388">
        <f>IF(AND(M9="F",AS9&lt;&gt;0),SUMIF(C2:C13,C9,W2:W13),0)</f>
        <v>74172.800000000003</v>
      </c>
      <c r="AY9" s="388">
        <f t="shared" si="29"/>
        <v>74172.800000000003</v>
      </c>
      <c r="AZ9" s="388" t="str">
        <f t="shared" si="30"/>
        <v/>
      </c>
      <c r="BA9" s="388">
        <f t="shared" si="31"/>
        <v>0</v>
      </c>
      <c r="BB9" s="388">
        <f t="shared" si="0"/>
        <v>12500</v>
      </c>
      <c r="BC9" s="388">
        <f t="shared" si="1"/>
        <v>0</v>
      </c>
      <c r="BD9" s="388">
        <f t="shared" si="2"/>
        <v>4598.7136</v>
      </c>
      <c r="BE9" s="388">
        <f t="shared" si="3"/>
        <v>1075.5056000000002</v>
      </c>
      <c r="BF9" s="388">
        <f t="shared" si="4"/>
        <v>8856.232320000001</v>
      </c>
      <c r="BG9" s="388">
        <f t="shared" si="5"/>
        <v>534.785888</v>
      </c>
      <c r="BH9" s="388">
        <f t="shared" si="6"/>
        <v>0</v>
      </c>
      <c r="BI9" s="388">
        <f t="shared" si="7"/>
        <v>0</v>
      </c>
      <c r="BJ9" s="388">
        <f t="shared" si="8"/>
        <v>215.10111999999998</v>
      </c>
      <c r="BK9" s="388">
        <f t="shared" si="9"/>
        <v>0</v>
      </c>
      <c r="BL9" s="388">
        <f t="shared" si="32"/>
        <v>15280.338528000002</v>
      </c>
      <c r="BM9" s="388">
        <f t="shared" si="33"/>
        <v>0</v>
      </c>
      <c r="BN9" s="388">
        <f t="shared" si="10"/>
        <v>13750</v>
      </c>
      <c r="BO9" s="388">
        <f t="shared" si="11"/>
        <v>0</v>
      </c>
      <c r="BP9" s="388">
        <f t="shared" si="12"/>
        <v>4598.7136</v>
      </c>
      <c r="BQ9" s="388">
        <f t="shared" si="13"/>
        <v>1075.5056000000002</v>
      </c>
      <c r="BR9" s="388">
        <f t="shared" si="14"/>
        <v>8292.5190399999992</v>
      </c>
      <c r="BS9" s="388">
        <f t="shared" si="15"/>
        <v>534.785888</v>
      </c>
      <c r="BT9" s="388">
        <f t="shared" si="16"/>
        <v>0</v>
      </c>
      <c r="BU9" s="388">
        <f t="shared" si="17"/>
        <v>0</v>
      </c>
      <c r="BV9" s="388">
        <f t="shared" si="18"/>
        <v>941.99455999999998</v>
      </c>
      <c r="BW9" s="388">
        <f t="shared" si="19"/>
        <v>0</v>
      </c>
      <c r="BX9" s="388">
        <f t="shared" si="34"/>
        <v>15443.518687999998</v>
      </c>
      <c r="BY9" s="388">
        <f t="shared" si="35"/>
        <v>0</v>
      </c>
      <c r="BZ9" s="388">
        <f t="shared" si="36"/>
        <v>1250</v>
      </c>
      <c r="CA9" s="388">
        <f t="shared" si="37"/>
        <v>0</v>
      </c>
      <c r="CB9" s="388">
        <f t="shared" si="38"/>
        <v>0</v>
      </c>
      <c r="CC9" s="388">
        <f t="shared" si="20"/>
        <v>0</v>
      </c>
      <c r="CD9" s="388">
        <f t="shared" si="21"/>
        <v>-563.71328000000074</v>
      </c>
      <c r="CE9" s="388">
        <f t="shared" si="22"/>
        <v>0</v>
      </c>
      <c r="CF9" s="388">
        <f t="shared" si="23"/>
        <v>0</v>
      </c>
      <c r="CG9" s="388">
        <f t="shared" si="24"/>
        <v>0</v>
      </c>
      <c r="CH9" s="388">
        <f t="shared" si="25"/>
        <v>726.89344000000006</v>
      </c>
      <c r="CI9" s="388">
        <f t="shared" si="26"/>
        <v>0</v>
      </c>
      <c r="CJ9" s="388">
        <f t="shared" si="39"/>
        <v>163.18015999999932</v>
      </c>
      <c r="CK9" s="388" t="str">
        <f t="shared" si="40"/>
        <v/>
      </c>
      <c r="CL9" s="388" t="str">
        <f t="shared" si="41"/>
        <v/>
      </c>
      <c r="CM9" s="388" t="str">
        <f t="shared" si="42"/>
        <v/>
      </c>
      <c r="CN9" s="388" t="str">
        <f t="shared" si="43"/>
        <v>0325-33</v>
      </c>
    </row>
    <row r="10" spans="1:92" ht="15.75" thickBot="1" x14ac:dyDescent="0.3">
      <c r="A10" s="377" t="s">
        <v>162</v>
      </c>
      <c r="B10" s="377" t="s">
        <v>163</v>
      </c>
      <c r="C10" s="377" t="s">
        <v>164</v>
      </c>
      <c r="D10" s="377" t="s">
        <v>165</v>
      </c>
      <c r="E10" s="377" t="s">
        <v>213</v>
      </c>
      <c r="F10" s="383" t="s">
        <v>214</v>
      </c>
      <c r="G10" s="377" t="s">
        <v>168</v>
      </c>
      <c r="H10" s="379"/>
      <c r="I10" s="379"/>
      <c r="J10" s="377" t="s">
        <v>169</v>
      </c>
      <c r="K10" s="377" t="s">
        <v>170</v>
      </c>
      <c r="L10" s="377" t="s">
        <v>167</v>
      </c>
      <c r="M10" s="377" t="s">
        <v>171</v>
      </c>
      <c r="N10" s="377" t="s">
        <v>172</v>
      </c>
      <c r="O10" s="380">
        <v>1</v>
      </c>
      <c r="P10" s="386">
        <v>1</v>
      </c>
      <c r="Q10" s="386">
        <v>1</v>
      </c>
      <c r="R10" s="381">
        <v>80</v>
      </c>
      <c r="S10" s="386">
        <v>1</v>
      </c>
      <c r="T10" s="381">
        <v>60370.8</v>
      </c>
      <c r="U10" s="381">
        <v>0</v>
      </c>
      <c r="V10" s="381">
        <v>22984.12</v>
      </c>
      <c r="W10" s="381">
        <v>71884.800000000003</v>
      </c>
      <c r="X10" s="381">
        <v>27308.95</v>
      </c>
      <c r="Y10" s="381">
        <v>71884.800000000003</v>
      </c>
      <c r="Z10" s="381">
        <v>28717.1</v>
      </c>
      <c r="AA10" s="377" t="s">
        <v>173</v>
      </c>
      <c r="AB10" s="377" t="s">
        <v>174</v>
      </c>
      <c r="AC10" s="377" t="s">
        <v>175</v>
      </c>
      <c r="AD10" s="377" t="s">
        <v>176</v>
      </c>
      <c r="AE10" s="377" t="s">
        <v>170</v>
      </c>
      <c r="AF10" s="377" t="s">
        <v>177</v>
      </c>
      <c r="AG10" s="377" t="s">
        <v>178</v>
      </c>
      <c r="AH10" s="382">
        <v>34.56</v>
      </c>
      <c r="AI10" s="380">
        <v>4080</v>
      </c>
      <c r="AJ10" s="377" t="s">
        <v>179</v>
      </c>
      <c r="AK10" s="377" t="s">
        <v>180</v>
      </c>
      <c r="AL10" s="377" t="s">
        <v>181</v>
      </c>
      <c r="AM10" s="377" t="s">
        <v>182</v>
      </c>
      <c r="AN10" s="377" t="s">
        <v>66</v>
      </c>
      <c r="AO10" s="380">
        <v>80</v>
      </c>
      <c r="AP10" s="386">
        <v>1</v>
      </c>
      <c r="AQ10" s="386">
        <v>1</v>
      </c>
      <c r="AR10" s="384" t="s">
        <v>183</v>
      </c>
      <c r="AS10" s="388">
        <f t="shared" si="27"/>
        <v>1</v>
      </c>
      <c r="AT10">
        <f t="shared" si="28"/>
        <v>1</v>
      </c>
      <c r="AU10" s="388">
        <f>IF(AT10=0,"",IF(AND(AT10=1,M10="F",SUMIF(C2:C13,C10,AS2:AS13)&lt;=1),SUMIF(C2:C13,C10,AS2:AS13),IF(AND(AT10=1,M10="F",SUMIF(C2:C13,C10,AS2:AS13)&gt;1),1,"")))</f>
        <v>1</v>
      </c>
      <c r="AV10" s="388" t="str">
        <f>IF(AT10=0,"",IF(AND(AT10=3,M10="F",SUMIF(C2:C13,C10,AS2:AS13)&lt;=1),SUMIF(C2:C13,C10,AS2:AS13),IF(AND(AT10=3,M10="F",SUMIF(C2:C13,C10,AS2:AS13)&gt;1),1,"")))</f>
        <v/>
      </c>
      <c r="AW10" s="388">
        <f>SUMIF(C2:C13,C10,O2:O13)</f>
        <v>2</v>
      </c>
      <c r="AX10" s="388">
        <f>IF(AND(M10="F",AS10&lt;&gt;0),SUMIF(C2:C13,C10,W2:W13),0)</f>
        <v>71884.800000000003</v>
      </c>
      <c r="AY10" s="388">
        <f t="shared" si="29"/>
        <v>71884.800000000003</v>
      </c>
      <c r="AZ10" s="388" t="str">
        <f t="shared" si="30"/>
        <v/>
      </c>
      <c r="BA10" s="388">
        <f t="shared" si="31"/>
        <v>0</v>
      </c>
      <c r="BB10" s="388">
        <f t="shared" si="0"/>
        <v>12500</v>
      </c>
      <c r="BC10" s="388">
        <f t="shared" si="1"/>
        <v>0</v>
      </c>
      <c r="BD10" s="388">
        <f t="shared" si="2"/>
        <v>4456.8576000000003</v>
      </c>
      <c r="BE10" s="388">
        <f t="shared" si="3"/>
        <v>1042.3296</v>
      </c>
      <c r="BF10" s="388">
        <f t="shared" si="4"/>
        <v>8583.0451200000007</v>
      </c>
      <c r="BG10" s="388">
        <f t="shared" si="5"/>
        <v>518.28940800000009</v>
      </c>
      <c r="BH10" s="388">
        <f t="shared" si="6"/>
        <v>0</v>
      </c>
      <c r="BI10" s="388">
        <f t="shared" si="7"/>
        <v>0</v>
      </c>
      <c r="BJ10" s="388">
        <f t="shared" si="8"/>
        <v>208.46591999999998</v>
      </c>
      <c r="BK10" s="388">
        <f t="shared" si="9"/>
        <v>0</v>
      </c>
      <c r="BL10" s="388">
        <f t="shared" si="32"/>
        <v>14808.987648000002</v>
      </c>
      <c r="BM10" s="388">
        <f t="shared" si="33"/>
        <v>0</v>
      </c>
      <c r="BN10" s="388">
        <f t="shared" si="10"/>
        <v>13750</v>
      </c>
      <c r="BO10" s="388">
        <f t="shared" si="11"/>
        <v>0</v>
      </c>
      <c r="BP10" s="388">
        <f t="shared" si="12"/>
        <v>4456.8576000000003</v>
      </c>
      <c r="BQ10" s="388">
        <f t="shared" si="13"/>
        <v>1042.3296</v>
      </c>
      <c r="BR10" s="388">
        <f t="shared" si="14"/>
        <v>8036.7206400000005</v>
      </c>
      <c r="BS10" s="388">
        <f t="shared" si="15"/>
        <v>518.28940800000009</v>
      </c>
      <c r="BT10" s="388">
        <f t="shared" si="16"/>
        <v>0</v>
      </c>
      <c r="BU10" s="388">
        <f t="shared" si="17"/>
        <v>0</v>
      </c>
      <c r="BV10" s="388">
        <f t="shared" si="18"/>
        <v>912.93696</v>
      </c>
      <c r="BW10" s="388">
        <f t="shared" si="19"/>
        <v>0</v>
      </c>
      <c r="BX10" s="388">
        <f t="shared" si="34"/>
        <v>14967.134207999999</v>
      </c>
      <c r="BY10" s="388">
        <f t="shared" si="35"/>
        <v>0</v>
      </c>
      <c r="BZ10" s="388">
        <f t="shared" si="36"/>
        <v>1250</v>
      </c>
      <c r="CA10" s="388">
        <f t="shared" si="37"/>
        <v>0</v>
      </c>
      <c r="CB10" s="388">
        <f t="shared" si="38"/>
        <v>0</v>
      </c>
      <c r="CC10" s="388">
        <f t="shared" si="20"/>
        <v>0</v>
      </c>
      <c r="CD10" s="388">
        <f t="shared" si="21"/>
        <v>-546.32448000000068</v>
      </c>
      <c r="CE10" s="388">
        <f t="shared" si="22"/>
        <v>0</v>
      </c>
      <c r="CF10" s="388">
        <f t="shared" si="23"/>
        <v>0</v>
      </c>
      <c r="CG10" s="388">
        <f t="shared" si="24"/>
        <v>0</v>
      </c>
      <c r="CH10" s="388">
        <f t="shared" si="25"/>
        <v>704.47104000000002</v>
      </c>
      <c r="CI10" s="388">
        <f t="shared" si="26"/>
        <v>0</v>
      </c>
      <c r="CJ10" s="388">
        <f t="shared" si="39"/>
        <v>158.14655999999934</v>
      </c>
      <c r="CK10" s="388" t="str">
        <f t="shared" si="40"/>
        <v/>
      </c>
      <c r="CL10" s="388" t="str">
        <f t="shared" si="41"/>
        <v/>
      </c>
      <c r="CM10" s="388" t="str">
        <f t="shared" si="42"/>
        <v/>
      </c>
      <c r="CN10" s="388" t="str">
        <f t="shared" si="43"/>
        <v>0325-33</v>
      </c>
    </row>
    <row r="11" spans="1:92" ht="15.75" thickBot="1" x14ac:dyDescent="0.3">
      <c r="A11" s="377" t="s">
        <v>162</v>
      </c>
      <c r="B11" s="377" t="s">
        <v>163</v>
      </c>
      <c r="C11" s="377" t="s">
        <v>184</v>
      </c>
      <c r="D11" s="377" t="s">
        <v>165</v>
      </c>
      <c r="E11" s="377" t="s">
        <v>213</v>
      </c>
      <c r="F11" s="383" t="s">
        <v>214</v>
      </c>
      <c r="G11" s="377" t="s">
        <v>168</v>
      </c>
      <c r="H11" s="379"/>
      <c r="I11" s="379"/>
      <c r="J11" s="377" t="s">
        <v>169</v>
      </c>
      <c r="K11" s="377" t="s">
        <v>170</v>
      </c>
      <c r="L11" s="377" t="s">
        <v>167</v>
      </c>
      <c r="M11" s="377" t="s">
        <v>171</v>
      </c>
      <c r="N11" s="377" t="s">
        <v>172</v>
      </c>
      <c r="O11" s="380">
        <v>1</v>
      </c>
      <c r="P11" s="386">
        <v>1</v>
      </c>
      <c r="Q11" s="386">
        <v>1</v>
      </c>
      <c r="R11" s="381">
        <v>80</v>
      </c>
      <c r="S11" s="386">
        <v>1</v>
      </c>
      <c r="T11" s="381">
        <v>56291.21</v>
      </c>
      <c r="U11" s="381">
        <v>0</v>
      </c>
      <c r="V11" s="381">
        <v>21288.74</v>
      </c>
      <c r="W11" s="381">
        <v>70844.800000000003</v>
      </c>
      <c r="X11" s="381">
        <v>27094.7</v>
      </c>
      <c r="Y11" s="381">
        <v>70844.800000000003</v>
      </c>
      <c r="Z11" s="381">
        <v>28500.560000000001</v>
      </c>
      <c r="AA11" s="377" t="s">
        <v>185</v>
      </c>
      <c r="AB11" s="377" t="s">
        <v>186</v>
      </c>
      <c r="AC11" s="377" t="s">
        <v>187</v>
      </c>
      <c r="AD11" s="377" t="s">
        <v>188</v>
      </c>
      <c r="AE11" s="377" t="s">
        <v>170</v>
      </c>
      <c r="AF11" s="377" t="s">
        <v>177</v>
      </c>
      <c r="AG11" s="377" t="s">
        <v>178</v>
      </c>
      <c r="AH11" s="382">
        <v>34.06</v>
      </c>
      <c r="AI11" s="382">
        <v>30078.9</v>
      </c>
      <c r="AJ11" s="377" t="s">
        <v>179</v>
      </c>
      <c r="AK11" s="377" t="s">
        <v>180</v>
      </c>
      <c r="AL11" s="377" t="s">
        <v>181</v>
      </c>
      <c r="AM11" s="377" t="s">
        <v>182</v>
      </c>
      <c r="AN11" s="377" t="s">
        <v>66</v>
      </c>
      <c r="AO11" s="380">
        <v>80</v>
      </c>
      <c r="AP11" s="386">
        <v>1</v>
      </c>
      <c r="AQ11" s="386">
        <v>1</v>
      </c>
      <c r="AR11" s="384" t="s">
        <v>183</v>
      </c>
      <c r="AS11" s="388">
        <f t="shared" si="27"/>
        <v>1</v>
      </c>
      <c r="AT11">
        <f t="shared" si="28"/>
        <v>1</v>
      </c>
      <c r="AU11" s="388">
        <f>IF(AT11=0,"",IF(AND(AT11=1,M11="F",SUMIF(C2:C13,C11,AS2:AS13)&lt;=1),SUMIF(C2:C13,C11,AS2:AS13),IF(AND(AT11=1,M11="F",SUMIF(C2:C13,C11,AS2:AS13)&gt;1),1,"")))</f>
        <v>1</v>
      </c>
      <c r="AV11" s="388" t="str">
        <f>IF(AT11=0,"",IF(AND(AT11=3,M11="F",SUMIF(C2:C13,C11,AS2:AS13)&lt;=1),SUMIF(C2:C13,C11,AS2:AS13),IF(AND(AT11=3,M11="F",SUMIF(C2:C13,C11,AS2:AS13)&gt;1),1,"")))</f>
        <v/>
      </c>
      <c r="AW11" s="388">
        <f>SUMIF(C2:C13,C11,O2:O13)</f>
        <v>2</v>
      </c>
      <c r="AX11" s="388">
        <f>IF(AND(M11="F",AS11&lt;&gt;0),SUMIF(C2:C13,C11,W2:W13),0)</f>
        <v>70844.800000000003</v>
      </c>
      <c r="AY11" s="388">
        <f t="shared" si="29"/>
        <v>70844.800000000003</v>
      </c>
      <c r="AZ11" s="388" t="str">
        <f t="shared" si="30"/>
        <v/>
      </c>
      <c r="BA11" s="388">
        <f t="shared" si="31"/>
        <v>0</v>
      </c>
      <c r="BB11" s="388">
        <f t="shared" si="0"/>
        <v>12500</v>
      </c>
      <c r="BC11" s="388">
        <f t="shared" si="1"/>
        <v>0</v>
      </c>
      <c r="BD11" s="388">
        <f t="shared" si="2"/>
        <v>4392.3775999999998</v>
      </c>
      <c r="BE11" s="388">
        <f t="shared" si="3"/>
        <v>1027.2496000000001</v>
      </c>
      <c r="BF11" s="388">
        <f t="shared" si="4"/>
        <v>8458.8691200000012</v>
      </c>
      <c r="BG11" s="388">
        <f t="shared" si="5"/>
        <v>510.79100800000003</v>
      </c>
      <c r="BH11" s="388">
        <f t="shared" si="6"/>
        <v>0</v>
      </c>
      <c r="BI11" s="388">
        <f t="shared" si="7"/>
        <v>0</v>
      </c>
      <c r="BJ11" s="388">
        <f t="shared" si="8"/>
        <v>205.44991999999999</v>
      </c>
      <c r="BK11" s="388">
        <f t="shared" si="9"/>
        <v>0</v>
      </c>
      <c r="BL11" s="388">
        <f t="shared" si="32"/>
        <v>14594.737248000001</v>
      </c>
      <c r="BM11" s="388">
        <f t="shared" si="33"/>
        <v>0</v>
      </c>
      <c r="BN11" s="388">
        <f t="shared" si="10"/>
        <v>13750</v>
      </c>
      <c r="BO11" s="388">
        <f t="shared" si="11"/>
        <v>0</v>
      </c>
      <c r="BP11" s="388">
        <f t="shared" si="12"/>
        <v>4392.3775999999998</v>
      </c>
      <c r="BQ11" s="388">
        <f t="shared" si="13"/>
        <v>1027.2496000000001</v>
      </c>
      <c r="BR11" s="388">
        <f t="shared" si="14"/>
        <v>7920.4486400000005</v>
      </c>
      <c r="BS11" s="388">
        <f t="shared" si="15"/>
        <v>510.79100800000003</v>
      </c>
      <c r="BT11" s="388">
        <f t="shared" si="16"/>
        <v>0</v>
      </c>
      <c r="BU11" s="388">
        <f t="shared" si="17"/>
        <v>0</v>
      </c>
      <c r="BV11" s="388">
        <f t="shared" si="18"/>
        <v>899.72896000000003</v>
      </c>
      <c r="BW11" s="388">
        <f t="shared" si="19"/>
        <v>0</v>
      </c>
      <c r="BX11" s="388">
        <f t="shared" si="34"/>
        <v>14750.595808000002</v>
      </c>
      <c r="BY11" s="388">
        <f t="shared" si="35"/>
        <v>0</v>
      </c>
      <c r="BZ11" s="388">
        <f t="shared" si="36"/>
        <v>1250</v>
      </c>
      <c r="CA11" s="388">
        <f t="shared" si="37"/>
        <v>0</v>
      </c>
      <c r="CB11" s="388">
        <f t="shared" si="38"/>
        <v>0</v>
      </c>
      <c r="CC11" s="388">
        <f t="shared" si="20"/>
        <v>0</v>
      </c>
      <c r="CD11" s="388">
        <f t="shared" si="21"/>
        <v>-538.42048000000068</v>
      </c>
      <c r="CE11" s="388">
        <f t="shared" si="22"/>
        <v>0</v>
      </c>
      <c r="CF11" s="388">
        <f t="shared" si="23"/>
        <v>0</v>
      </c>
      <c r="CG11" s="388">
        <f t="shared" si="24"/>
        <v>0</v>
      </c>
      <c r="CH11" s="388">
        <f t="shared" si="25"/>
        <v>694.27904000000001</v>
      </c>
      <c r="CI11" s="388">
        <f t="shared" si="26"/>
        <v>0</v>
      </c>
      <c r="CJ11" s="388">
        <f t="shared" si="39"/>
        <v>155.85855999999933</v>
      </c>
      <c r="CK11" s="388" t="str">
        <f t="shared" si="40"/>
        <v/>
      </c>
      <c r="CL11" s="388" t="str">
        <f t="shared" si="41"/>
        <v/>
      </c>
      <c r="CM11" s="388" t="str">
        <f t="shared" si="42"/>
        <v/>
      </c>
      <c r="CN11" s="388" t="str">
        <f t="shared" si="43"/>
        <v>0325-33</v>
      </c>
    </row>
    <row r="12" spans="1:92" ht="15.75" thickBot="1" x14ac:dyDescent="0.3">
      <c r="A12" s="377" t="s">
        <v>162</v>
      </c>
      <c r="B12" s="377" t="s">
        <v>163</v>
      </c>
      <c r="C12" s="377" t="s">
        <v>189</v>
      </c>
      <c r="D12" s="377" t="s">
        <v>190</v>
      </c>
      <c r="E12" s="377" t="s">
        <v>213</v>
      </c>
      <c r="F12" s="383" t="s">
        <v>214</v>
      </c>
      <c r="G12" s="377" t="s">
        <v>168</v>
      </c>
      <c r="H12" s="379"/>
      <c r="I12" s="379"/>
      <c r="J12" s="377" t="s">
        <v>169</v>
      </c>
      <c r="K12" s="377" t="s">
        <v>191</v>
      </c>
      <c r="L12" s="377" t="s">
        <v>167</v>
      </c>
      <c r="M12" s="377" t="s">
        <v>171</v>
      </c>
      <c r="N12" s="377" t="s">
        <v>172</v>
      </c>
      <c r="O12" s="380">
        <v>1</v>
      </c>
      <c r="P12" s="386">
        <v>0</v>
      </c>
      <c r="Q12" s="386">
        <v>0</v>
      </c>
      <c r="R12" s="381">
        <v>80</v>
      </c>
      <c r="S12" s="386">
        <v>0</v>
      </c>
      <c r="T12" s="381">
        <v>35556.67</v>
      </c>
      <c r="U12" s="381">
        <v>0</v>
      </c>
      <c r="V12" s="381">
        <v>10323.209999999999</v>
      </c>
      <c r="W12" s="381">
        <v>0</v>
      </c>
      <c r="X12" s="381">
        <v>0</v>
      </c>
      <c r="Y12" s="381">
        <v>0</v>
      </c>
      <c r="Z12" s="381">
        <v>0</v>
      </c>
      <c r="AA12" s="377" t="s">
        <v>192</v>
      </c>
      <c r="AB12" s="377" t="s">
        <v>193</v>
      </c>
      <c r="AC12" s="377" t="s">
        <v>194</v>
      </c>
      <c r="AD12" s="377" t="s">
        <v>195</v>
      </c>
      <c r="AE12" s="377" t="s">
        <v>191</v>
      </c>
      <c r="AF12" s="377" t="s">
        <v>177</v>
      </c>
      <c r="AG12" s="377" t="s">
        <v>178</v>
      </c>
      <c r="AH12" s="382">
        <v>55.56</v>
      </c>
      <c r="AI12" s="380">
        <v>10463</v>
      </c>
      <c r="AJ12" s="377" t="s">
        <v>179</v>
      </c>
      <c r="AK12" s="377" t="s">
        <v>180</v>
      </c>
      <c r="AL12" s="377" t="s">
        <v>181</v>
      </c>
      <c r="AM12" s="377" t="s">
        <v>181</v>
      </c>
      <c r="AN12" s="377" t="s">
        <v>66</v>
      </c>
      <c r="AO12" s="380">
        <v>80</v>
      </c>
      <c r="AP12" s="386">
        <v>1</v>
      </c>
      <c r="AQ12" s="386">
        <v>0</v>
      </c>
      <c r="AR12" s="384" t="s">
        <v>183</v>
      </c>
      <c r="AS12" s="388">
        <f t="shared" si="27"/>
        <v>0</v>
      </c>
      <c r="AT12">
        <f t="shared" si="28"/>
        <v>0</v>
      </c>
      <c r="AU12" s="388" t="str">
        <f>IF(AT12=0,"",IF(AND(AT12=1,M12="F",SUMIF(C2:C13,C12,AS2:AS13)&lt;=1),SUMIF(C2:C13,C12,AS2:AS13),IF(AND(AT12=1,M12="F",SUMIF(C2:C13,C12,AS2:AS13)&gt;1),1,"")))</f>
        <v/>
      </c>
      <c r="AV12" s="388" t="str">
        <f>IF(AT12=0,"",IF(AND(AT12=3,M12="F",SUMIF(C2:C13,C12,AS2:AS13)&lt;=1),SUMIF(C2:C13,C12,AS2:AS13),IF(AND(AT12=3,M12="F",SUMIF(C2:C13,C12,AS2:AS13)&gt;1),1,"")))</f>
        <v/>
      </c>
      <c r="AW12" s="388">
        <f>SUMIF(C2:C13,C12,O2:O13)</f>
        <v>2</v>
      </c>
      <c r="AX12" s="388">
        <f>IF(AND(M12="F",AS12&lt;&gt;0),SUMIF(C2:C13,C12,W2:W13),0)</f>
        <v>0</v>
      </c>
      <c r="AY12" s="388" t="str">
        <f t="shared" si="29"/>
        <v/>
      </c>
      <c r="AZ12" s="388" t="str">
        <f t="shared" si="30"/>
        <v/>
      </c>
      <c r="BA12" s="388">
        <f t="shared" si="31"/>
        <v>0</v>
      </c>
      <c r="BB12" s="388">
        <f t="shared" si="0"/>
        <v>0</v>
      </c>
      <c r="BC12" s="388">
        <f t="shared" si="1"/>
        <v>0</v>
      </c>
      <c r="BD12" s="388">
        <f t="shared" si="2"/>
        <v>0</v>
      </c>
      <c r="BE12" s="388">
        <f t="shared" si="3"/>
        <v>0</v>
      </c>
      <c r="BF12" s="388">
        <f t="shared" si="4"/>
        <v>0</v>
      </c>
      <c r="BG12" s="388">
        <f t="shared" si="5"/>
        <v>0</v>
      </c>
      <c r="BH12" s="388">
        <f t="shared" si="6"/>
        <v>0</v>
      </c>
      <c r="BI12" s="388">
        <f t="shared" si="7"/>
        <v>0</v>
      </c>
      <c r="BJ12" s="388">
        <f t="shared" si="8"/>
        <v>0</v>
      </c>
      <c r="BK12" s="388">
        <f t="shared" si="9"/>
        <v>0</v>
      </c>
      <c r="BL12" s="388">
        <f t="shared" si="32"/>
        <v>0</v>
      </c>
      <c r="BM12" s="388">
        <f t="shared" si="33"/>
        <v>0</v>
      </c>
      <c r="BN12" s="388">
        <f t="shared" si="10"/>
        <v>0</v>
      </c>
      <c r="BO12" s="388">
        <f t="shared" si="11"/>
        <v>0</v>
      </c>
      <c r="BP12" s="388">
        <f t="shared" si="12"/>
        <v>0</v>
      </c>
      <c r="BQ12" s="388">
        <f t="shared" si="13"/>
        <v>0</v>
      </c>
      <c r="BR12" s="388">
        <f t="shared" si="14"/>
        <v>0</v>
      </c>
      <c r="BS12" s="388">
        <f t="shared" si="15"/>
        <v>0</v>
      </c>
      <c r="BT12" s="388">
        <f t="shared" si="16"/>
        <v>0</v>
      </c>
      <c r="BU12" s="388">
        <f t="shared" si="17"/>
        <v>0</v>
      </c>
      <c r="BV12" s="388">
        <f t="shared" si="18"/>
        <v>0</v>
      </c>
      <c r="BW12" s="388">
        <f t="shared" si="19"/>
        <v>0</v>
      </c>
      <c r="BX12" s="388">
        <f t="shared" si="34"/>
        <v>0</v>
      </c>
      <c r="BY12" s="388">
        <f t="shared" si="35"/>
        <v>0</v>
      </c>
      <c r="BZ12" s="388">
        <f t="shared" si="36"/>
        <v>0</v>
      </c>
      <c r="CA12" s="388">
        <f t="shared" si="37"/>
        <v>0</v>
      </c>
      <c r="CB12" s="388">
        <f t="shared" si="38"/>
        <v>0</v>
      </c>
      <c r="CC12" s="388">
        <f t="shared" si="20"/>
        <v>0</v>
      </c>
      <c r="CD12" s="388">
        <f t="shared" si="21"/>
        <v>0</v>
      </c>
      <c r="CE12" s="388">
        <f t="shared" si="22"/>
        <v>0</v>
      </c>
      <c r="CF12" s="388">
        <f t="shared" si="23"/>
        <v>0</v>
      </c>
      <c r="CG12" s="388">
        <f t="shared" si="24"/>
        <v>0</v>
      </c>
      <c r="CH12" s="388">
        <f t="shared" si="25"/>
        <v>0</v>
      </c>
      <c r="CI12" s="388">
        <f t="shared" si="26"/>
        <v>0</v>
      </c>
      <c r="CJ12" s="388">
        <f t="shared" si="39"/>
        <v>0</v>
      </c>
      <c r="CK12" s="388" t="str">
        <f t="shared" si="40"/>
        <v/>
      </c>
      <c r="CL12" s="388" t="str">
        <f t="shared" si="41"/>
        <v/>
      </c>
      <c r="CM12" s="388" t="str">
        <f t="shared" si="42"/>
        <v/>
      </c>
      <c r="CN12" s="388" t="str">
        <f t="shared" si="43"/>
        <v>0325-33</v>
      </c>
    </row>
    <row r="13" spans="1:92" ht="15.75" thickBot="1" x14ac:dyDescent="0.3">
      <c r="A13" s="377" t="s">
        <v>162</v>
      </c>
      <c r="B13" s="377" t="s">
        <v>163</v>
      </c>
      <c r="C13" s="377" t="s">
        <v>215</v>
      </c>
      <c r="D13" s="377" t="s">
        <v>216</v>
      </c>
      <c r="E13" s="377" t="s">
        <v>213</v>
      </c>
      <c r="F13" s="383" t="s">
        <v>214</v>
      </c>
      <c r="G13" s="377" t="s">
        <v>168</v>
      </c>
      <c r="H13" s="379"/>
      <c r="I13" s="379"/>
      <c r="J13" s="377" t="s">
        <v>169</v>
      </c>
      <c r="K13" s="377" t="s">
        <v>217</v>
      </c>
      <c r="L13" s="377" t="s">
        <v>218</v>
      </c>
      <c r="M13" s="377" t="s">
        <v>171</v>
      </c>
      <c r="N13" s="377" t="s">
        <v>205</v>
      </c>
      <c r="O13" s="380">
        <v>1</v>
      </c>
      <c r="P13" s="386">
        <v>1</v>
      </c>
      <c r="Q13" s="386">
        <v>1</v>
      </c>
      <c r="R13" s="381">
        <v>80</v>
      </c>
      <c r="S13" s="386">
        <v>1</v>
      </c>
      <c r="T13" s="381">
        <v>11754</v>
      </c>
      <c r="U13" s="381">
        <v>0</v>
      </c>
      <c r="V13" s="381">
        <v>9746.2199999999993</v>
      </c>
      <c r="W13" s="381">
        <v>16068</v>
      </c>
      <c r="X13" s="381">
        <v>15899.15</v>
      </c>
      <c r="Y13" s="381">
        <v>16068</v>
      </c>
      <c r="Z13" s="381">
        <v>17184.509999999998</v>
      </c>
      <c r="AA13" s="377" t="s">
        <v>219</v>
      </c>
      <c r="AB13" s="377" t="s">
        <v>220</v>
      </c>
      <c r="AC13" s="377" t="s">
        <v>221</v>
      </c>
      <c r="AD13" s="377" t="s">
        <v>222</v>
      </c>
      <c r="AE13" s="377" t="s">
        <v>217</v>
      </c>
      <c r="AF13" s="377" t="s">
        <v>223</v>
      </c>
      <c r="AG13" s="377" t="s">
        <v>178</v>
      </c>
      <c r="AH13" s="382">
        <v>15.45</v>
      </c>
      <c r="AI13" s="380">
        <v>860</v>
      </c>
      <c r="AJ13" s="377" t="s">
        <v>224</v>
      </c>
      <c r="AK13" s="377" t="s">
        <v>180</v>
      </c>
      <c r="AL13" s="377" t="s">
        <v>181</v>
      </c>
      <c r="AM13" s="377" t="s">
        <v>182</v>
      </c>
      <c r="AN13" s="377" t="s">
        <v>66</v>
      </c>
      <c r="AO13" s="380">
        <v>40</v>
      </c>
      <c r="AP13" s="386">
        <v>1</v>
      </c>
      <c r="AQ13" s="386">
        <v>0.5</v>
      </c>
      <c r="AR13" s="384" t="s">
        <v>183</v>
      </c>
      <c r="AS13" s="388">
        <f t="shared" si="27"/>
        <v>0.5</v>
      </c>
      <c r="AT13">
        <f t="shared" si="28"/>
        <v>1</v>
      </c>
      <c r="AU13" s="388">
        <f>IF(AT13=0,"",IF(AND(AT13=1,M13="F",SUMIF(C2:C13,C13,AS2:AS13)&lt;=1),SUMIF(C2:C13,C13,AS2:AS13),IF(AND(AT13=1,M13="F",SUMIF(C2:C13,C13,AS2:AS13)&gt;1),1,"")))</f>
        <v>0.5</v>
      </c>
      <c r="AV13" s="388" t="str">
        <f>IF(AT13=0,"",IF(AND(AT13=3,M13="F",SUMIF(C2:C13,C13,AS2:AS13)&lt;=1),SUMIF(C2:C13,C13,AS2:AS13),IF(AND(AT13=3,M13="F",SUMIF(C2:C13,C13,AS2:AS13)&gt;1),1,"")))</f>
        <v/>
      </c>
      <c r="AW13" s="388">
        <f>SUMIF(C2:C13,C13,O2:O13)</f>
        <v>1</v>
      </c>
      <c r="AX13" s="388">
        <f>IF(AND(M13="F",AS13&lt;&gt;0),SUMIF(C2:C13,C13,W2:W13),0)</f>
        <v>16068</v>
      </c>
      <c r="AY13" s="388">
        <f t="shared" si="29"/>
        <v>16068</v>
      </c>
      <c r="AZ13" s="388" t="str">
        <f t="shared" si="30"/>
        <v/>
      </c>
      <c r="BA13" s="388">
        <f t="shared" si="31"/>
        <v>0</v>
      </c>
      <c r="BB13" s="388">
        <f t="shared" si="0"/>
        <v>10000</v>
      </c>
      <c r="BC13" s="388">
        <f t="shared" si="1"/>
        <v>0</v>
      </c>
      <c r="BD13" s="388">
        <f t="shared" si="2"/>
        <v>996.21600000000001</v>
      </c>
      <c r="BE13" s="388">
        <f t="shared" si="3"/>
        <v>232.98600000000002</v>
      </c>
      <c r="BF13" s="388">
        <f t="shared" si="4"/>
        <v>1918.5192000000002</v>
      </c>
      <c r="BG13" s="388">
        <f t="shared" si="5"/>
        <v>115.85028</v>
      </c>
      <c r="BH13" s="388">
        <f t="shared" si="6"/>
        <v>0</v>
      </c>
      <c r="BI13" s="388">
        <f t="shared" si="7"/>
        <v>88.93638</v>
      </c>
      <c r="BJ13" s="388">
        <f t="shared" si="8"/>
        <v>46.597199999999994</v>
      </c>
      <c r="BK13" s="388">
        <f t="shared" si="9"/>
        <v>0</v>
      </c>
      <c r="BL13" s="388">
        <f t="shared" si="32"/>
        <v>3399.1050600000003</v>
      </c>
      <c r="BM13" s="388">
        <f t="shared" si="33"/>
        <v>0</v>
      </c>
      <c r="BN13" s="388">
        <f t="shared" si="10"/>
        <v>11000</v>
      </c>
      <c r="BO13" s="388">
        <f t="shared" si="11"/>
        <v>0</v>
      </c>
      <c r="BP13" s="388">
        <f t="shared" si="12"/>
        <v>996.21600000000001</v>
      </c>
      <c r="BQ13" s="388">
        <f t="shared" si="13"/>
        <v>232.98600000000002</v>
      </c>
      <c r="BR13" s="388">
        <f t="shared" si="14"/>
        <v>1796.4023999999999</v>
      </c>
      <c r="BS13" s="388">
        <f t="shared" si="15"/>
        <v>115.85028</v>
      </c>
      <c r="BT13" s="388">
        <f t="shared" si="16"/>
        <v>0</v>
      </c>
      <c r="BU13" s="388">
        <f t="shared" si="17"/>
        <v>88.93638</v>
      </c>
      <c r="BV13" s="388">
        <f t="shared" si="18"/>
        <v>204.06359999999998</v>
      </c>
      <c r="BW13" s="388">
        <f t="shared" si="19"/>
        <v>0</v>
      </c>
      <c r="BX13" s="388">
        <f t="shared" si="34"/>
        <v>3434.4546600000003</v>
      </c>
      <c r="BY13" s="388">
        <f t="shared" si="35"/>
        <v>0</v>
      </c>
      <c r="BZ13" s="388">
        <f t="shared" si="36"/>
        <v>1000</v>
      </c>
      <c r="CA13" s="388">
        <f t="shared" si="37"/>
        <v>0</v>
      </c>
      <c r="CB13" s="388">
        <f t="shared" si="38"/>
        <v>0</v>
      </c>
      <c r="CC13" s="388">
        <f t="shared" si="20"/>
        <v>0</v>
      </c>
      <c r="CD13" s="388">
        <f t="shared" si="21"/>
        <v>-122.11680000000015</v>
      </c>
      <c r="CE13" s="388">
        <f t="shared" si="22"/>
        <v>0</v>
      </c>
      <c r="CF13" s="388">
        <f t="shared" si="23"/>
        <v>0</v>
      </c>
      <c r="CG13" s="388">
        <f t="shared" si="24"/>
        <v>0</v>
      </c>
      <c r="CH13" s="388">
        <f t="shared" si="25"/>
        <v>157.46639999999999</v>
      </c>
      <c r="CI13" s="388">
        <f t="shared" si="26"/>
        <v>0</v>
      </c>
      <c r="CJ13" s="388">
        <f t="shared" si="39"/>
        <v>35.349599999999839</v>
      </c>
      <c r="CK13" s="388" t="str">
        <f t="shared" si="40"/>
        <v/>
      </c>
      <c r="CL13" s="388" t="str">
        <f t="shared" si="41"/>
        <v/>
      </c>
      <c r="CM13" s="388" t="str">
        <f t="shared" si="42"/>
        <v/>
      </c>
      <c r="CN13" s="388" t="str">
        <f t="shared" si="43"/>
        <v>0325-33</v>
      </c>
    </row>
    <row r="15" spans="1:92" ht="21" x14ac:dyDescent="0.35">
      <c r="AQ15" s="251" t="s">
        <v>287</v>
      </c>
    </row>
    <row r="16" spans="1:92" ht="15.75" thickBot="1" x14ac:dyDescent="0.3">
      <c r="AR16" t="s">
        <v>273</v>
      </c>
      <c r="AS16" s="388">
        <f>SUMIFS(AS2:AS13,G2:G13,"EDAB",E2:E13,"0001",F2:F13,"00",AT2:AT13,1)</f>
        <v>1</v>
      </c>
      <c r="AT16" s="388">
        <f>SUMIFS(AS2:AS13,G2:G13,"EDAB",E2:E13,"0001",F2:F13,"00",AT2:AT13,3)</f>
        <v>0</v>
      </c>
      <c r="AU16" s="388">
        <f>SUMIFS(AU2:AU13,G2:G13,"EDAB",E2:E13,"0001",F2:F13,"00")</f>
        <v>1</v>
      </c>
      <c r="AV16" s="388">
        <f>SUMIFS(AV2:AV13,G2:G13,"EDAB",E2:E13,"0001",F2:F13,"00")</f>
        <v>0</v>
      </c>
      <c r="AW16" s="388">
        <f>SUMIFS(AW2:AW13,G2:G13,"EDAB",E2:E13,"0001",F2:F13,"00")</f>
        <v>8</v>
      </c>
      <c r="AX16" s="388">
        <f>SUMIFS(AX2:AX13,G2:G13,"EDAB",E2:E13,"0001",F2:F13,"00")</f>
        <v>115564.8</v>
      </c>
      <c r="AY16" s="388">
        <f>SUMIFS(AY2:AY13,G2:G13,"EDAB",E2:E13,"0001",F2:F13,"00")</f>
        <v>115564.8</v>
      </c>
      <c r="AZ16" s="388">
        <f>SUMIFS(AZ2:AZ13,G2:G13,"EDAB",E2:E13,"0001",F2:F13,"00")</f>
        <v>0</v>
      </c>
      <c r="BA16" s="388">
        <f>SUMIFS(BA2:BA13,G2:G13,"EDAB",E2:E13,"0001",F2:F13,"00")</f>
        <v>0</v>
      </c>
      <c r="BB16" s="388">
        <f>SUMIFS(BB2:BB13,G2:G13,"EDAB",E2:E13,"0001",F2:F13,"00")</f>
        <v>12500</v>
      </c>
      <c r="BC16" s="388">
        <f>SUMIFS(BC2:BC13,G2:G13,"EDAB",E2:E13,"0001",F2:F13,"00")</f>
        <v>0</v>
      </c>
      <c r="BD16" s="388">
        <f>SUMIFS(BD2:BD13,G2:G13,"EDAB",E2:E13,"0001",F2:F13,"00")</f>
        <v>7165.0176000000001</v>
      </c>
      <c r="BE16" s="388">
        <f>SUMIFS(BE2:BE13,G2:G13,"EDAB",E2:E13,"0001",F2:F13,"00")</f>
        <v>1675.6896000000002</v>
      </c>
      <c r="BF16" s="388">
        <f>SUMIFS(BF2:BF13,G2:G13,"EDAB",E2:E13,"0001",F2:F13,"00")</f>
        <v>13798.437120000001</v>
      </c>
      <c r="BG16" s="388">
        <f>SUMIFS(BG2:BG13,G2:G13,"EDAB",E2:E13,"0001",F2:F13,"00")</f>
        <v>833.22220800000002</v>
      </c>
      <c r="BH16" s="388">
        <f>SUMIFS(BH2:BH13,G2:G13,"EDAB",E2:E13,"0001",F2:F13,"00")</f>
        <v>0</v>
      </c>
      <c r="BI16" s="388">
        <f>SUMIFS(BI2:BI13,G2:G13,"EDAB",E2:E13,"0001",F2:F13,"00")</f>
        <v>0</v>
      </c>
      <c r="BJ16" s="388">
        <f>SUMIFS(BJ2:BJ13,G2:G13,"EDAB",E2:E13,"0001",F2:F13,"00")</f>
        <v>335.13792000000001</v>
      </c>
      <c r="BK16" s="388">
        <f>SUMIFS(BK2:BK13,G2:G13,"EDAB",E2:E13,"0001",F2:F13,"00")</f>
        <v>0</v>
      </c>
      <c r="BL16" s="388">
        <f>SUMIFS(BL2:BL13,G2:G13,"EDAB",E2:E13,"0001",F2:F13,"00")</f>
        <v>23807.504448</v>
      </c>
      <c r="BM16" s="388">
        <f>SUMIFS(BM2:BM13,G2:G13,"EDAB",E2:E13,"0001",F2:F13,"00")</f>
        <v>0</v>
      </c>
      <c r="BN16" s="388">
        <f>SUMIFS(BN2:BN13,G2:G13,"EDAB",E2:E13,"0001",F2:F13,"00")</f>
        <v>13750</v>
      </c>
      <c r="BO16" s="388">
        <f>SUMIFS(BO2:BO13,G2:G13,"EDAB",E2:E13,"0001",F2:F13,"00")</f>
        <v>0</v>
      </c>
      <c r="BP16" s="388">
        <f>SUMIFS(BP2:BP13,G2:G13,"EDAB",E2:E13,"0001",F2:F13,"00")</f>
        <v>7165.0176000000001</v>
      </c>
      <c r="BQ16" s="388">
        <f>SUMIFS(BQ2:BQ13,G2:G13,"EDAB",E2:E13,"0001",F2:F13,"00")</f>
        <v>1675.6896000000002</v>
      </c>
      <c r="BR16" s="388">
        <f>SUMIFS(BR2:BR13,G2:G13,"EDAB",E2:E13,"0001",F2:F13,"00")</f>
        <v>12920.14464</v>
      </c>
      <c r="BS16" s="388">
        <f>SUMIFS(BS2:BS13,G2:G13,"EDAB",E2:E13,"0001",F2:F13,"00")</f>
        <v>833.22220800000002</v>
      </c>
      <c r="BT16" s="388">
        <f>SUMIFS(BT2:BT13,G2:G13,"EDAB",E2:E13,"0001",F2:F13,"00")</f>
        <v>0</v>
      </c>
      <c r="BU16" s="388">
        <f>SUMIFS(BU2:BU13,G2:G13,"EDAB",E2:E13,"0001",F2:F13,"00")</f>
        <v>0</v>
      </c>
      <c r="BV16" s="388">
        <f>SUMIFS(BV2:BV13,G2:G13,"EDAB",E2:E13,"0001",F2:F13,"00")</f>
        <v>1467.6729599999999</v>
      </c>
      <c r="BW16" s="388">
        <f>SUMIFS(BW2:BW13,G2:G13,"EDAB",E2:E13,"0001",F2:F13,"00")</f>
        <v>0</v>
      </c>
      <c r="BX16" s="388">
        <f>SUMIFS(BX2:BX13,G2:G13,"EDAB",E2:E13,"0001",F2:F13,"00")</f>
        <v>24061.747008000002</v>
      </c>
      <c r="BY16" s="388">
        <f>SUMIFS(BY2:BY13,G2:G13,"EDAB",E2:E13,"0001",F2:F13,"00")</f>
        <v>0</v>
      </c>
      <c r="BZ16" s="388">
        <f>SUMIFS(BZ2:BZ13,G2:G13,"EDAB",E2:E13,"0001",F2:F13,"00")</f>
        <v>1250</v>
      </c>
      <c r="CA16" s="388">
        <f>SUMIFS(CA2:CA13,G2:G13,"EDAB",E2:E13,"0001",F2:F13,"00")</f>
        <v>0</v>
      </c>
      <c r="CB16" s="388">
        <f>SUMIFS(CB2:CB13,G2:G13,"EDAB",E2:E13,"0001",F2:F13,"00")</f>
        <v>0</v>
      </c>
      <c r="CC16" s="388">
        <f>SUMIFS(CC2:CC13,G2:G13,"EDAB",E2:E13,"0001",F2:F13,"00")</f>
        <v>0</v>
      </c>
      <c r="CD16" s="388">
        <f>SUMIFS(CD2:CD13,G2:G13,"EDAB",E2:E13,"0001",F2:F13,"00")</f>
        <v>-878.29248000000109</v>
      </c>
      <c r="CE16" s="388">
        <f>SUMIFS(CE2:CE13,G2:G13,"EDAB",E2:E13,"0001",F2:F13,"00")</f>
        <v>0</v>
      </c>
      <c r="CF16" s="388">
        <f>SUMIFS(CF2:CF13,G2:G13,"EDAB",E2:E13,"0001",F2:F13,"00")</f>
        <v>0</v>
      </c>
      <c r="CG16" s="388">
        <f>SUMIFS(CG2:CG13,G2:G13,"EDAB",E2:E13,"0001",F2:F13,"00")</f>
        <v>0</v>
      </c>
      <c r="CH16" s="388">
        <f>SUMIFS(CH2:CH13,G2:G13,"EDAB",E2:E13,"0001",F2:F13,"00")</f>
        <v>1132.53504</v>
      </c>
      <c r="CI16" s="388">
        <f>SUMIFS(CI2:CI13,G2:G13,"EDAB",E2:E13,"0001",F2:F13,"00")</f>
        <v>0</v>
      </c>
      <c r="CJ16" s="388">
        <f>SUMIFS(CJ2:CJ13,G2:G13,"EDAB",E2:E13,"0001",F2:F13,"00")</f>
        <v>254.24255999999889</v>
      </c>
      <c r="CK16" s="388">
        <f>SUMIFS(CK2:CK13,G2:G13,"EDAB",E2:E13,"0001",F2:F13,"00")</f>
        <v>0</v>
      </c>
      <c r="CL16" s="388">
        <f>SUMIFS(CL2:CL13,G2:G13,"EDAB",E2:E13,"0001",F2:F13,"00")</f>
        <v>525</v>
      </c>
      <c r="CM16" s="388">
        <f>SUMIFS(CM2:CM13,G2:G13,"EDAB",E2:E13,"0001",F2:F13,"00")</f>
        <v>102.87</v>
      </c>
    </row>
    <row r="17" spans="41:91" ht="18.75" x14ac:dyDescent="0.3">
      <c r="AQ17" s="394" t="s">
        <v>274</v>
      </c>
      <c r="AS17" s="395">
        <f t="shared" ref="AS17:CM17" si="44">SUM(AS16:AS16)</f>
        <v>1</v>
      </c>
      <c r="AT17" s="395">
        <f t="shared" si="44"/>
        <v>0</v>
      </c>
      <c r="AU17" s="395">
        <f t="shared" si="44"/>
        <v>1</v>
      </c>
      <c r="AV17" s="395">
        <f t="shared" si="44"/>
        <v>0</v>
      </c>
      <c r="AW17" s="395">
        <f t="shared" si="44"/>
        <v>8</v>
      </c>
      <c r="AX17" s="395">
        <f t="shared" si="44"/>
        <v>115564.8</v>
      </c>
      <c r="AY17" s="395">
        <f t="shared" si="44"/>
        <v>115564.8</v>
      </c>
      <c r="AZ17" s="395">
        <f t="shared" si="44"/>
        <v>0</v>
      </c>
      <c r="BA17" s="395">
        <f t="shared" si="44"/>
        <v>0</v>
      </c>
      <c r="BB17" s="395">
        <f t="shared" si="44"/>
        <v>12500</v>
      </c>
      <c r="BC17" s="395">
        <f t="shared" si="44"/>
        <v>0</v>
      </c>
      <c r="BD17" s="395">
        <f t="shared" si="44"/>
        <v>7165.0176000000001</v>
      </c>
      <c r="BE17" s="395">
        <f t="shared" si="44"/>
        <v>1675.6896000000002</v>
      </c>
      <c r="BF17" s="395">
        <f t="shared" si="44"/>
        <v>13798.437120000001</v>
      </c>
      <c r="BG17" s="395">
        <f t="shared" si="44"/>
        <v>833.22220800000002</v>
      </c>
      <c r="BH17" s="395">
        <f t="shared" si="44"/>
        <v>0</v>
      </c>
      <c r="BI17" s="395">
        <f t="shared" si="44"/>
        <v>0</v>
      </c>
      <c r="BJ17" s="395">
        <f t="shared" si="44"/>
        <v>335.13792000000001</v>
      </c>
      <c r="BK17" s="395">
        <f t="shared" si="44"/>
        <v>0</v>
      </c>
      <c r="BL17" s="395">
        <f t="shared" si="44"/>
        <v>23807.504448</v>
      </c>
      <c r="BM17" s="395">
        <f t="shared" si="44"/>
        <v>0</v>
      </c>
      <c r="BN17" s="395">
        <f t="shared" si="44"/>
        <v>13750</v>
      </c>
      <c r="BO17" s="395">
        <f t="shared" si="44"/>
        <v>0</v>
      </c>
      <c r="BP17" s="395">
        <f t="shared" si="44"/>
        <v>7165.0176000000001</v>
      </c>
      <c r="BQ17" s="395">
        <f t="shared" si="44"/>
        <v>1675.6896000000002</v>
      </c>
      <c r="BR17" s="395">
        <f t="shared" si="44"/>
        <v>12920.14464</v>
      </c>
      <c r="BS17" s="395">
        <f t="shared" si="44"/>
        <v>833.22220800000002</v>
      </c>
      <c r="BT17" s="395">
        <f t="shared" si="44"/>
        <v>0</v>
      </c>
      <c r="BU17" s="395">
        <f t="shared" si="44"/>
        <v>0</v>
      </c>
      <c r="BV17" s="395">
        <f t="shared" si="44"/>
        <v>1467.6729599999999</v>
      </c>
      <c r="BW17" s="395">
        <f t="shared" si="44"/>
        <v>0</v>
      </c>
      <c r="BX17" s="395">
        <f t="shared" si="44"/>
        <v>24061.747008000002</v>
      </c>
      <c r="BY17" s="395">
        <f t="shared" si="44"/>
        <v>0</v>
      </c>
      <c r="BZ17" s="395">
        <f t="shared" si="44"/>
        <v>1250</v>
      </c>
      <c r="CA17" s="395">
        <f t="shared" si="44"/>
        <v>0</v>
      </c>
      <c r="CB17" s="395">
        <f t="shared" si="44"/>
        <v>0</v>
      </c>
      <c r="CC17" s="395">
        <f t="shared" si="44"/>
        <v>0</v>
      </c>
      <c r="CD17" s="395">
        <f t="shared" si="44"/>
        <v>-878.29248000000109</v>
      </c>
      <c r="CE17" s="395">
        <f t="shared" si="44"/>
        <v>0</v>
      </c>
      <c r="CF17" s="395">
        <f t="shared" si="44"/>
        <v>0</v>
      </c>
      <c r="CG17" s="395">
        <f t="shared" si="44"/>
        <v>0</v>
      </c>
      <c r="CH17" s="395">
        <f t="shared" si="44"/>
        <v>1132.53504</v>
      </c>
      <c r="CI17" s="395">
        <f t="shared" si="44"/>
        <v>0</v>
      </c>
      <c r="CJ17" s="395">
        <f t="shared" si="44"/>
        <v>254.24255999999889</v>
      </c>
      <c r="CK17" s="395">
        <f t="shared" si="44"/>
        <v>0</v>
      </c>
      <c r="CL17" s="395">
        <f t="shared" si="44"/>
        <v>525</v>
      </c>
      <c r="CM17" s="395">
        <f t="shared" si="44"/>
        <v>102.87</v>
      </c>
    </row>
    <row r="18" spans="41:91" ht="15.75" thickBot="1" x14ac:dyDescent="0.3">
      <c r="AR18" t="s">
        <v>281</v>
      </c>
      <c r="AS18" s="388">
        <f>SUMIFS(AS2:AS13,G2:G13,"EDAB",E2:E13,"0325",F2:F13,"33",AT2:AT13,1)</f>
        <v>3.5</v>
      </c>
      <c r="AT18" s="388">
        <f>SUMIFS(AS2:AS13,G2:G13,"EDAB",E2:E13,"0325",F2:F13,"33",AT2:AT13,3)</f>
        <v>0</v>
      </c>
      <c r="AU18" s="388">
        <f>SUMIFS(AU2:AU13,G2:G13,"EDAB",E2:E13,"0325",F2:F13,"33")</f>
        <v>3.5</v>
      </c>
      <c r="AV18" s="388">
        <f>SUMIFS(AV2:AV13,G2:G13,"EDAB",E2:E13,"0325",F2:F13,"33")</f>
        <v>0</v>
      </c>
      <c r="AW18" s="388">
        <f>SUMIFS(AW2:AW13,G2:G13,"EDAB",E2:E13,"0325",F2:F13,"33")</f>
        <v>9</v>
      </c>
      <c r="AX18" s="388">
        <f>SUMIFS(AX2:AX13,G2:G13,"EDAB",E2:E13,"0325",F2:F13,"33")</f>
        <v>232970.40000000002</v>
      </c>
      <c r="AY18" s="388">
        <f>SUMIFS(AY2:AY13,G2:G13,"EDAB",E2:E13,"0325",F2:F13,"33")</f>
        <v>232970.40000000002</v>
      </c>
      <c r="AZ18" s="388">
        <f>SUMIFS(AZ2:AZ13,G2:G13,"EDAB",E2:E13,"0325",F2:F13,"33")</f>
        <v>0</v>
      </c>
      <c r="BA18" s="388">
        <f>SUMIFS(BA2:BA13,G2:G13,"EDAB",E2:E13,"0325",F2:F13,"33")</f>
        <v>0</v>
      </c>
      <c r="BB18" s="388">
        <f>SUMIFS(BB2:BB13,G2:G13,"EDAB",E2:E13,"0325",F2:F13,"33")</f>
        <v>47500</v>
      </c>
      <c r="BC18" s="388">
        <f>SUMIFS(BC2:BC13,G2:G13,"EDAB",E2:E13,"0325",F2:F13,"33")</f>
        <v>0</v>
      </c>
      <c r="BD18" s="388">
        <f>SUMIFS(BD2:BD13,G2:G13,"EDAB",E2:E13,"0325",F2:F13,"33")</f>
        <v>14444.1648</v>
      </c>
      <c r="BE18" s="388">
        <f>SUMIFS(BE2:BE13,G2:G13,"EDAB",E2:E13,"0325",F2:F13,"33")</f>
        <v>3378.0708000000004</v>
      </c>
      <c r="BF18" s="388">
        <f>SUMIFS(BF2:BF13,G2:G13,"EDAB",E2:E13,"0325",F2:F13,"33")</f>
        <v>27816.66576</v>
      </c>
      <c r="BG18" s="388">
        <f>SUMIFS(BG2:BG13,G2:G13,"EDAB",E2:E13,"0325",F2:F13,"33")</f>
        <v>1679.7165840000002</v>
      </c>
      <c r="BH18" s="388">
        <f>SUMIFS(BH2:BH13,G2:G13,"EDAB",E2:E13,"0325",F2:F13,"33")</f>
        <v>0</v>
      </c>
      <c r="BI18" s="388">
        <f>SUMIFS(BI2:BI13,G2:G13,"EDAB",E2:E13,"0325",F2:F13,"33")</f>
        <v>88.93638</v>
      </c>
      <c r="BJ18" s="388">
        <f>SUMIFS(BJ2:BJ13,G2:G13,"EDAB",E2:E13,"0325",F2:F13,"33")</f>
        <v>675.61415999999997</v>
      </c>
      <c r="BK18" s="388">
        <f>SUMIFS(BK2:BK13,G2:G13,"EDAB",E2:E13,"0325",F2:F13,"33")</f>
        <v>0</v>
      </c>
      <c r="BL18" s="388">
        <f>SUMIFS(BL2:BL13,G2:G13,"EDAB",E2:E13,"0325",F2:F13,"33")</f>
        <v>48083.168484000009</v>
      </c>
      <c r="BM18" s="388">
        <f>SUMIFS(BM2:BM13,G2:G13,"EDAB",E2:E13,"0325",F2:F13,"33")</f>
        <v>0</v>
      </c>
      <c r="BN18" s="388">
        <f>SUMIFS(BN2:BN13,G2:G13,"EDAB",E2:E13,"0325",F2:F13,"33")</f>
        <v>52250</v>
      </c>
      <c r="BO18" s="388">
        <f>SUMIFS(BO2:BO13,G2:G13,"EDAB",E2:E13,"0325",F2:F13,"33")</f>
        <v>0</v>
      </c>
      <c r="BP18" s="388">
        <f>SUMIFS(BP2:BP13,G2:G13,"EDAB",E2:E13,"0325",F2:F13,"33")</f>
        <v>14444.1648</v>
      </c>
      <c r="BQ18" s="388">
        <f>SUMIFS(BQ2:BQ13,G2:G13,"EDAB",E2:E13,"0325",F2:F13,"33")</f>
        <v>3378.0708000000004</v>
      </c>
      <c r="BR18" s="388">
        <f>SUMIFS(BR2:BR13,G2:G13,"EDAB",E2:E13,"0325",F2:F13,"33")</f>
        <v>26046.09072</v>
      </c>
      <c r="BS18" s="388">
        <f>SUMIFS(BS2:BS13,G2:G13,"EDAB",E2:E13,"0325",F2:F13,"33")</f>
        <v>1679.7165840000002</v>
      </c>
      <c r="BT18" s="388">
        <f>SUMIFS(BT2:BT13,G2:G13,"EDAB",E2:E13,"0325",F2:F13,"33")</f>
        <v>0</v>
      </c>
      <c r="BU18" s="388">
        <f>SUMIFS(BU2:BU13,G2:G13,"EDAB",E2:E13,"0325",F2:F13,"33")</f>
        <v>88.93638</v>
      </c>
      <c r="BV18" s="388">
        <f>SUMIFS(BV2:BV13,G2:G13,"EDAB",E2:E13,"0325",F2:F13,"33")</f>
        <v>2958.72408</v>
      </c>
      <c r="BW18" s="388">
        <f>SUMIFS(BW2:BW13,G2:G13,"EDAB",E2:E13,"0325",F2:F13,"33")</f>
        <v>0</v>
      </c>
      <c r="BX18" s="388">
        <f>SUMIFS(BX2:BX13,G2:G13,"EDAB",E2:E13,"0325",F2:F13,"33")</f>
        <v>48595.703364000001</v>
      </c>
      <c r="BY18" s="388">
        <f>SUMIFS(BY2:BY13,G2:G13,"EDAB",E2:E13,"0325",F2:F13,"33")</f>
        <v>0</v>
      </c>
      <c r="BZ18" s="388">
        <f>SUMIFS(BZ2:BZ13,G2:G13,"EDAB",E2:E13,"0325",F2:F13,"33")</f>
        <v>4750</v>
      </c>
      <c r="CA18" s="388">
        <f>SUMIFS(CA2:CA13,G2:G13,"EDAB",E2:E13,"0325",F2:F13,"33")</f>
        <v>0</v>
      </c>
      <c r="CB18" s="388">
        <f>SUMIFS(CB2:CB13,G2:G13,"EDAB",E2:E13,"0325",F2:F13,"33")</f>
        <v>0</v>
      </c>
      <c r="CC18" s="388">
        <f>SUMIFS(CC2:CC13,G2:G13,"EDAB",E2:E13,"0325",F2:F13,"33")</f>
        <v>0</v>
      </c>
      <c r="CD18" s="388">
        <f>SUMIFS(CD2:CD13,G2:G13,"EDAB",E2:E13,"0325",F2:F13,"33")</f>
        <v>-1770.5750400000024</v>
      </c>
      <c r="CE18" s="388">
        <f>SUMIFS(CE2:CE13,G2:G13,"EDAB",E2:E13,"0325",F2:F13,"33")</f>
        <v>0</v>
      </c>
      <c r="CF18" s="388">
        <f>SUMIFS(CF2:CF13,G2:G13,"EDAB",E2:E13,"0325",F2:F13,"33")</f>
        <v>0</v>
      </c>
      <c r="CG18" s="388">
        <f>SUMIFS(CG2:CG13,G2:G13,"EDAB",E2:E13,"0325",F2:F13,"33")</f>
        <v>0</v>
      </c>
      <c r="CH18" s="388">
        <f>SUMIFS(CH2:CH13,G2:G13,"EDAB",E2:E13,"0325",F2:F13,"33")</f>
        <v>2283.1099199999999</v>
      </c>
      <c r="CI18" s="388">
        <f>SUMIFS(CI2:CI13,G2:G13,"EDAB",E2:E13,"0325",F2:F13,"33")</f>
        <v>0</v>
      </c>
      <c r="CJ18" s="388">
        <f>SUMIFS(CJ2:CJ13,G2:G13,"EDAB",E2:E13,"0325",F2:F13,"33")</f>
        <v>512.53487999999788</v>
      </c>
      <c r="CK18" s="388">
        <f>SUMIFS(CK2:CK13,G2:G13,"EDAB",E2:E13,"0325",F2:F13,"33")</f>
        <v>0</v>
      </c>
      <c r="CL18" s="388">
        <f>SUMIFS(CL2:CL13,G2:G13,"EDAB",E2:E13,"0325",F2:F13,"33")</f>
        <v>1400</v>
      </c>
      <c r="CM18" s="388">
        <f>SUMIFS(CM2:CM13,G2:G13,"EDAB",E2:E13,"0325",F2:F13,"33")</f>
        <v>250.39</v>
      </c>
    </row>
    <row r="19" spans="41:91" ht="18.75" x14ac:dyDescent="0.3">
      <c r="AQ19" s="394" t="s">
        <v>282</v>
      </c>
      <c r="AS19" s="395">
        <f t="shared" ref="AS19:CM19" si="45">SUM(AS18:AS18)</f>
        <v>3.5</v>
      </c>
      <c r="AT19" s="395">
        <f t="shared" si="45"/>
        <v>0</v>
      </c>
      <c r="AU19" s="395">
        <f t="shared" si="45"/>
        <v>3.5</v>
      </c>
      <c r="AV19" s="395">
        <f t="shared" si="45"/>
        <v>0</v>
      </c>
      <c r="AW19" s="395">
        <f t="shared" si="45"/>
        <v>9</v>
      </c>
      <c r="AX19" s="395">
        <f t="shared" si="45"/>
        <v>232970.40000000002</v>
      </c>
      <c r="AY19" s="395">
        <f t="shared" si="45"/>
        <v>232970.40000000002</v>
      </c>
      <c r="AZ19" s="395">
        <f t="shared" si="45"/>
        <v>0</v>
      </c>
      <c r="BA19" s="395">
        <f t="shared" si="45"/>
        <v>0</v>
      </c>
      <c r="BB19" s="395">
        <f t="shared" si="45"/>
        <v>47500</v>
      </c>
      <c r="BC19" s="395">
        <f t="shared" si="45"/>
        <v>0</v>
      </c>
      <c r="BD19" s="395">
        <f t="shared" si="45"/>
        <v>14444.1648</v>
      </c>
      <c r="BE19" s="395">
        <f t="shared" si="45"/>
        <v>3378.0708000000004</v>
      </c>
      <c r="BF19" s="395">
        <f t="shared" si="45"/>
        <v>27816.66576</v>
      </c>
      <c r="BG19" s="395">
        <f t="shared" si="45"/>
        <v>1679.7165840000002</v>
      </c>
      <c r="BH19" s="395">
        <f t="shared" si="45"/>
        <v>0</v>
      </c>
      <c r="BI19" s="395">
        <f t="shared" si="45"/>
        <v>88.93638</v>
      </c>
      <c r="BJ19" s="395">
        <f t="shared" si="45"/>
        <v>675.61415999999997</v>
      </c>
      <c r="BK19" s="395">
        <f t="shared" si="45"/>
        <v>0</v>
      </c>
      <c r="BL19" s="395">
        <f t="shared" si="45"/>
        <v>48083.168484000009</v>
      </c>
      <c r="BM19" s="395">
        <f t="shared" si="45"/>
        <v>0</v>
      </c>
      <c r="BN19" s="395">
        <f t="shared" si="45"/>
        <v>52250</v>
      </c>
      <c r="BO19" s="395">
        <f t="shared" si="45"/>
        <v>0</v>
      </c>
      <c r="BP19" s="395">
        <f t="shared" si="45"/>
        <v>14444.1648</v>
      </c>
      <c r="BQ19" s="395">
        <f t="shared" si="45"/>
        <v>3378.0708000000004</v>
      </c>
      <c r="BR19" s="395">
        <f t="shared" si="45"/>
        <v>26046.09072</v>
      </c>
      <c r="BS19" s="395">
        <f t="shared" si="45"/>
        <v>1679.7165840000002</v>
      </c>
      <c r="BT19" s="395">
        <f t="shared" si="45"/>
        <v>0</v>
      </c>
      <c r="BU19" s="395">
        <f t="shared" si="45"/>
        <v>88.93638</v>
      </c>
      <c r="BV19" s="395">
        <f t="shared" si="45"/>
        <v>2958.72408</v>
      </c>
      <c r="BW19" s="395">
        <f t="shared" si="45"/>
        <v>0</v>
      </c>
      <c r="BX19" s="395">
        <f t="shared" si="45"/>
        <v>48595.703364000001</v>
      </c>
      <c r="BY19" s="395">
        <f t="shared" si="45"/>
        <v>0</v>
      </c>
      <c r="BZ19" s="395">
        <f t="shared" si="45"/>
        <v>4750</v>
      </c>
      <c r="CA19" s="395">
        <f t="shared" si="45"/>
        <v>0</v>
      </c>
      <c r="CB19" s="395">
        <f t="shared" si="45"/>
        <v>0</v>
      </c>
      <c r="CC19" s="395">
        <f t="shared" si="45"/>
        <v>0</v>
      </c>
      <c r="CD19" s="395">
        <f t="shared" si="45"/>
        <v>-1770.5750400000024</v>
      </c>
      <c r="CE19" s="395">
        <f t="shared" si="45"/>
        <v>0</v>
      </c>
      <c r="CF19" s="395">
        <f t="shared" si="45"/>
        <v>0</v>
      </c>
      <c r="CG19" s="395">
        <f t="shared" si="45"/>
        <v>0</v>
      </c>
      <c r="CH19" s="395">
        <f t="shared" si="45"/>
        <v>2283.1099199999999</v>
      </c>
      <c r="CI19" s="395">
        <f t="shared" si="45"/>
        <v>0</v>
      </c>
      <c r="CJ19" s="395">
        <f t="shared" si="45"/>
        <v>512.53487999999788</v>
      </c>
      <c r="CK19" s="395">
        <f t="shared" si="45"/>
        <v>0</v>
      </c>
      <c r="CL19" s="395">
        <f t="shared" si="45"/>
        <v>1400</v>
      </c>
      <c r="CM19" s="395">
        <f t="shared" si="45"/>
        <v>250.39</v>
      </c>
    </row>
    <row r="21" spans="41:91" ht="21" x14ac:dyDescent="0.35">
      <c r="AO21" s="251" t="s">
        <v>95</v>
      </c>
      <c r="AP21" s="251"/>
      <c r="AQ21" s="251"/>
    </row>
    <row r="23" spans="41:91" ht="21" x14ac:dyDescent="0.35">
      <c r="AO23" s="252"/>
      <c r="AP23" s="252"/>
      <c r="AQ23" s="252"/>
    </row>
    <row r="24" spans="41:91" ht="15.75" x14ac:dyDescent="0.25">
      <c r="AS24" s="374" t="s">
        <v>81</v>
      </c>
      <c r="AT24" s="478" t="s">
        <v>290</v>
      </c>
      <c r="AU24" s="478"/>
      <c r="AV24" s="479" t="s">
        <v>288</v>
      </c>
      <c r="AW24" s="478" t="s">
        <v>291</v>
      </c>
      <c r="AX24" s="478"/>
      <c r="AY24" s="479" t="s">
        <v>289</v>
      </c>
      <c r="AZ24" s="478" t="s">
        <v>292</v>
      </c>
      <c r="BA24" s="478"/>
    </row>
    <row r="25" spans="41:91" ht="15.75" x14ac:dyDescent="0.25">
      <c r="AS25" s="249"/>
      <c r="AT25" s="374" t="s">
        <v>92</v>
      </c>
      <c r="AU25" s="373" t="s">
        <v>94</v>
      </c>
      <c r="AV25" s="480"/>
      <c r="AW25" s="374" t="s">
        <v>96</v>
      </c>
      <c r="AX25" s="373" t="s">
        <v>93</v>
      </c>
      <c r="AY25" s="480"/>
      <c r="AZ25" s="374" t="s">
        <v>96</v>
      </c>
      <c r="BA25" s="373" t="s">
        <v>93</v>
      </c>
    </row>
    <row r="26" spans="41:91" x14ac:dyDescent="0.25">
      <c r="AO26" s="393" t="s">
        <v>293</v>
      </c>
    </row>
    <row r="27" spans="41:91" x14ac:dyDescent="0.25">
      <c r="AQ27" t="s">
        <v>278</v>
      </c>
      <c r="AS27" s="388">
        <f>SUM(SUMIFS(AS2:AS13,CN2:CN13,AQ27,E2:E13,"0001",F2:F13,"00",AT2:AT13,{1,3}))</f>
        <v>1</v>
      </c>
      <c r="AT27" s="388">
        <f>SUMPRODUCT(--(CN2:CN13=AQ27),--(N2:N13&lt;&gt;"NG"),--(AG2:AG13&lt;&gt;"D"),--(AR2:AR13&lt;&gt;6),--(AR2:AR13&lt;&gt;36),--(AR2:AR13&lt;&gt;56),T2:T13)+SUMPRODUCT(--(CN2:CN13=AQ27),--(N2:N13&lt;&gt;"NG"),--(AG2:AG13&lt;&gt;"D"),--(AR2:AR13&lt;&gt;6),--(AR2:AR13&lt;&gt;36),--(AR2:AR13&lt;&gt;56),U2:U13)</f>
        <v>94305.23000000001</v>
      </c>
      <c r="AU27" s="388">
        <f>SUMPRODUCT(--(CN2:CN13=AQ27),--(N2:N13&lt;&gt;"NG"),--(AG2:AG13&lt;&gt;"D"),--(AR2:AR13&lt;&gt;6),--(AR2:AR13&lt;&gt;36),--(AR2:AR13&lt;&gt;56),V2:V13)</f>
        <v>31566.900000000005</v>
      </c>
      <c r="AV27" s="388">
        <f>SUMPRODUCT(--(CN2:CN13=AQ27),AY2:AY13)+SUMPRODUCT(--(CN2:CN13=AQ27),AZ2:AZ13)</f>
        <v>115564.8</v>
      </c>
      <c r="AW27" s="388">
        <f>SUMPRODUCT(--(CN2:CN13=AQ27),BB2:BB13)+SUMPRODUCT(--(CN2:CN13=AQ27),BC2:BC13)</f>
        <v>12500</v>
      </c>
      <c r="AX27" s="388">
        <f>SUMPRODUCT(--(CN2:CN13=AQ27),BL2:BL13)+SUMPRODUCT(--(CN2:CN13=AQ27),BM2:BM13)</f>
        <v>23807.504448</v>
      </c>
      <c r="AY27" s="388">
        <f>SUMPRODUCT(--(CN2:CN13=AQ27),AY2:AY13)+SUMPRODUCT(--(CN2:CN13=AQ27),AZ2:AZ13)+SUMPRODUCT(--(CN2:CN13=AQ27),BA2:BA13)</f>
        <v>115564.8</v>
      </c>
      <c r="AZ27" s="388">
        <f>SUMPRODUCT(--(CN2:CN13=AQ27),BN2:BN13)+SUMPRODUCT(--(CN2:CN13=AQ27),BO2:BO13)</f>
        <v>13750</v>
      </c>
      <c r="BA27" s="388">
        <f>SUMPRODUCT(--(CN2:CN13=AQ27),BX2:BX13)+SUMPRODUCT(--(CN2:CN13=AQ27),BY2:BY13)</f>
        <v>24061.747008000002</v>
      </c>
    </row>
    <row r="28" spans="41:91" x14ac:dyDescent="0.25">
      <c r="AP28" t="s">
        <v>294</v>
      </c>
      <c r="AS28" s="399">
        <f t="shared" ref="AS28:BA28" si="46">SUM(AS27:AS27)</f>
        <v>1</v>
      </c>
      <c r="AT28" s="399">
        <f t="shared" si="46"/>
        <v>94305.23000000001</v>
      </c>
      <c r="AU28" s="399">
        <f t="shared" si="46"/>
        <v>31566.900000000005</v>
      </c>
      <c r="AV28" s="399">
        <f t="shared" si="46"/>
        <v>115564.8</v>
      </c>
      <c r="AW28" s="399">
        <f t="shared" si="46"/>
        <v>12500</v>
      </c>
      <c r="AX28" s="399">
        <f t="shared" si="46"/>
        <v>23807.504448</v>
      </c>
      <c r="AY28" s="399">
        <f t="shared" si="46"/>
        <v>115564.8</v>
      </c>
      <c r="AZ28" s="399">
        <f t="shared" si="46"/>
        <v>13750</v>
      </c>
      <c r="BA28" s="399">
        <f t="shared" si="46"/>
        <v>24061.747008000002</v>
      </c>
    </row>
    <row r="29" spans="41:91" x14ac:dyDescent="0.25">
      <c r="AQ29" t="s">
        <v>284</v>
      </c>
      <c r="AS29" s="388">
        <f>SUM(SUMIFS(AS2:AS13,CN2:CN13,AQ29,E2:E13,"0325",F2:F13,"33",AT2:AT13,{1,3}))</f>
        <v>3.5</v>
      </c>
      <c r="AT29" s="388">
        <f>SUMPRODUCT(--(CN2:CN13=AQ29),--(N2:N13&lt;&gt;"NG"),--(AG2:AG13&lt;&gt;"D"),--(AR2:AR13&lt;&gt;6),--(AR2:AR13&lt;&gt;36),--(AR2:AR13&lt;&gt;56),T2:T13)+SUMPRODUCT(--(CN2:CN13=AQ29),--(N2:N13&lt;&gt;"NG"),--(AG2:AG13&lt;&gt;"D"),--(AR2:AR13&lt;&gt;6),--(AR2:AR13&lt;&gt;36),--(AR2:AR13&lt;&gt;56),U2:U13)</f>
        <v>225311.88</v>
      </c>
      <c r="AU29" s="388">
        <f>SUMPRODUCT(--(CN2:CN13=AQ29),--(N2:N13&lt;&gt;"NG"),--(AG2:AG13&lt;&gt;"D"),--(AR2:AR13&lt;&gt;6),--(AR2:AR13&lt;&gt;36),--(AR2:AR13&lt;&gt;56),V2:V13)</f>
        <v>87266.82</v>
      </c>
      <c r="AV29" s="388">
        <f>SUMPRODUCT(--(CN2:CN13=AQ29),AY2:AY13)+SUMPRODUCT(--(CN2:CN13=AQ29),AZ2:AZ13)</f>
        <v>232970.40000000002</v>
      </c>
      <c r="AW29" s="388">
        <f>SUMPRODUCT(--(CN2:CN13=AQ29),BB2:BB13)+SUMPRODUCT(--(CN2:CN13=AQ29),BC2:BC13)</f>
        <v>47500</v>
      </c>
      <c r="AX29" s="388">
        <f>SUMPRODUCT(--(CN2:CN13=AQ29),BL2:BL13)+SUMPRODUCT(--(CN2:CN13=AQ29),BM2:BM13)</f>
        <v>48083.168484000009</v>
      </c>
      <c r="AY29" s="388">
        <f>SUMPRODUCT(--(CN2:CN13=AQ29),AY2:AY13)+SUMPRODUCT(--(CN2:CN13=AQ29),AZ2:AZ13)+SUMPRODUCT(--(CN2:CN13=AQ29),BA2:BA13)</f>
        <v>232970.40000000002</v>
      </c>
      <c r="AZ29" s="388">
        <f>SUMPRODUCT(--(CN2:CN13=AQ29),BN2:BN13)+SUMPRODUCT(--(CN2:CN13=AQ29),BO2:BO13)</f>
        <v>52250</v>
      </c>
      <c r="BA29" s="388">
        <f>SUMPRODUCT(--(CN2:CN13=AQ29),BX2:BX13)+SUMPRODUCT(--(CN2:CN13=AQ29),BY2:BY13)</f>
        <v>48595.703364000001</v>
      </c>
    </row>
    <row r="30" spans="41:91" x14ac:dyDescent="0.25">
      <c r="AP30" t="s">
        <v>295</v>
      </c>
      <c r="AS30" s="399">
        <f t="shared" ref="AS30:BA30" si="47">SUM(AS29:AS29)</f>
        <v>3.5</v>
      </c>
      <c r="AT30" s="399">
        <f t="shared" si="47"/>
        <v>225311.88</v>
      </c>
      <c r="AU30" s="399">
        <f t="shared" si="47"/>
        <v>87266.82</v>
      </c>
      <c r="AV30" s="399">
        <f t="shared" si="47"/>
        <v>232970.40000000002</v>
      </c>
      <c r="AW30" s="399">
        <f t="shared" si="47"/>
        <v>47500</v>
      </c>
      <c r="AX30" s="399">
        <f t="shared" si="47"/>
        <v>48083.168484000009</v>
      </c>
      <c r="AY30" s="399">
        <f t="shared" si="47"/>
        <v>232970.40000000002</v>
      </c>
      <c r="AZ30" s="399">
        <f t="shared" si="47"/>
        <v>52250</v>
      </c>
      <c r="BA30" s="399">
        <f t="shared" si="47"/>
        <v>48595.703364000001</v>
      </c>
    </row>
    <row r="31" spans="41:91" x14ac:dyDescent="0.25">
      <c r="AS31" s="388"/>
      <c r="AT31" s="388"/>
      <c r="AU31" s="388"/>
      <c r="AV31" s="388"/>
      <c r="AW31" s="388"/>
      <c r="AX31" s="388"/>
      <c r="AY31" s="388"/>
      <c r="AZ31" s="388"/>
      <c r="BA31" s="388"/>
    </row>
    <row r="32" spans="41:91" x14ac:dyDescent="0.25">
      <c r="AO32" s="397" t="s">
        <v>296</v>
      </c>
      <c r="AS32" s="400">
        <f t="shared" ref="AS32:BA32" si="48">SUM(AS28,AS30)</f>
        <v>4.5</v>
      </c>
      <c r="AT32" s="400">
        <f t="shared" si="48"/>
        <v>319617.11</v>
      </c>
      <c r="AU32" s="400">
        <f t="shared" si="48"/>
        <v>118833.72000000002</v>
      </c>
      <c r="AV32" s="400">
        <f t="shared" si="48"/>
        <v>348535.2</v>
      </c>
      <c r="AW32" s="400">
        <f t="shared" si="48"/>
        <v>60000</v>
      </c>
      <c r="AX32" s="400">
        <f t="shared" si="48"/>
        <v>71890.672932000016</v>
      </c>
      <c r="AY32" s="400">
        <f t="shared" si="48"/>
        <v>348535.2</v>
      </c>
      <c r="AZ32" s="400">
        <f t="shared" si="48"/>
        <v>66000</v>
      </c>
      <c r="BA32" s="400">
        <f t="shared" si="48"/>
        <v>72657.450372000007</v>
      </c>
    </row>
    <row r="33" spans="41:85" x14ac:dyDescent="0.25">
      <c r="AS33" s="388"/>
      <c r="AT33" s="388"/>
      <c r="AU33" s="388"/>
      <c r="AV33" s="388"/>
      <c r="AW33" s="388"/>
      <c r="AX33" s="388"/>
      <c r="AY33" s="388"/>
      <c r="AZ33" s="388"/>
      <c r="BA33" s="388"/>
    </row>
    <row r="34" spans="41:85" x14ac:dyDescent="0.25">
      <c r="AO34" s="393" t="s">
        <v>297</v>
      </c>
      <c r="AS34" s="388"/>
      <c r="AT34" s="388"/>
      <c r="AU34" s="388"/>
      <c r="AV34" s="388"/>
      <c r="AW34" s="388"/>
      <c r="AX34" s="388"/>
      <c r="AY34" s="388"/>
      <c r="AZ34" s="388"/>
      <c r="BA34" s="388"/>
    </row>
    <row r="35" spans="41:85" x14ac:dyDescent="0.25">
      <c r="AQ35" t="s">
        <v>278</v>
      </c>
      <c r="AS35" s="388"/>
      <c r="AT35" s="388">
        <f>SUMIF(CN2:CN13,AQ35,CL2:CL13)</f>
        <v>525</v>
      </c>
      <c r="AU35" s="388">
        <f>SUMIF(CN2:CN13,AQ35,CM2:CM13)</f>
        <v>102.87</v>
      </c>
      <c r="AV35" s="388">
        <f>SUMIF(CN2:CN13,AQ35,CL2:CL13)</f>
        <v>525</v>
      </c>
      <c r="AW35" s="388">
        <v>0</v>
      </c>
      <c r="AX35" s="388">
        <f>SUMIF(CN2:CN13,AQ35,CM2:CM13)</f>
        <v>102.87</v>
      </c>
      <c r="AY35" s="388">
        <f>SUMIF(CN2:CN13,AQ35,CL2:CL13)</f>
        <v>525</v>
      </c>
      <c r="AZ35" s="388">
        <v>0</v>
      </c>
      <c r="BA35" s="388">
        <f>SUMIF(CN2:CN13,AQ35,CM2:CM13)</f>
        <v>102.87</v>
      </c>
    </row>
    <row r="36" spans="41:85" x14ac:dyDescent="0.25">
      <c r="AP36" t="s">
        <v>294</v>
      </c>
      <c r="AS36" s="399"/>
      <c r="AT36" s="399">
        <f t="shared" ref="AT36:BA36" si="49">SUM(AT35:AT35)</f>
        <v>525</v>
      </c>
      <c r="AU36" s="399">
        <f t="shared" si="49"/>
        <v>102.87</v>
      </c>
      <c r="AV36" s="399">
        <f t="shared" si="49"/>
        <v>525</v>
      </c>
      <c r="AW36" s="399">
        <f t="shared" si="49"/>
        <v>0</v>
      </c>
      <c r="AX36" s="399">
        <f t="shared" si="49"/>
        <v>102.87</v>
      </c>
      <c r="AY36" s="399">
        <f t="shared" si="49"/>
        <v>525</v>
      </c>
      <c r="AZ36" s="399">
        <f t="shared" si="49"/>
        <v>0</v>
      </c>
      <c r="BA36" s="399">
        <f t="shared" si="49"/>
        <v>102.87</v>
      </c>
    </row>
    <row r="37" spans="41:85" x14ac:dyDescent="0.25">
      <c r="AQ37" t="s">
        <v>284</v>
      </c>
      <c r="AS37" s="388"/>
      <c r="AT37" s="388">
        <f>SUMIF(CN2:CN13,AQ37,CL2:CL13)</f>
        <v>1400</v>
      </c>
      <c r="AU37" s="388">
        <f>SUMIF(CN2:CN13,AQ37,CM2:CM13)</f>
        <v>250.39</v>
      </c>
      <c r="AV37" s="388">
        <f>SUMIF(CN2:CN13,AQ37,CL2:CL13)</f>
        <v>1400</v>
      </c>
      <c r="AW37" s="388">
        <v>0</v>
      </c>
      <c r="AX37" s="388">
        <f>SUMIF(CN2:CN13,AQ37,CM2:CM13)</f>
        <v>250.39</v>
      </c>
      <c r="AY37" s="388">
        <f>SUMIF(CN2:CN13,AQ37,CL2:CL13)</f>
        <v>1400</v>
      </c>
      <c r="AZ37" s="388">
        <v>0</v>
      </c>
      <c r="BA37" s="388">
        <f>SUMIF(CN2:CN13,AQ37,CM2:CM13)</f>
        <v>250.39</v>
      </c>
    </row>
    <row r="38" spans="41:85" x14ac:dyDescent="0.25">
      <c r="AP38" t="s">
        <v>295</v>
      </c>
      <c r="AS38" s="399"/>
      <c r="AT38" s="399">
        <f t="shared" ref="AT38:BA38" si="50">SUM(AT37:AT37)</f>
        <v>1400</v>
      </c>
      <c r="AU38" s="399">
        <f t="shared" si="50"/>
        <v>250.39</v>
      </c>
      <c r="AV38" s="399">
        <f t="shared" si="50"/>
        <v>1400</v>
      </c>
      <c r="AW38" s="399">
        <f t="shared" si="50"/>
        <v>0</v>
      </c>
      <c r="AX38" s="399">
        <f t="shared" si="50"/>
        <v>250.39</v>
      </c>
      <c r="AY38" s="399">
        <f t="shared" si="50"/>
        <v>1400</v>
      </c>
      <c r="AZ38" s="399">
        <f t="shared" si="50"/>
        <v>0</v>
      </c>
      <c r="BA38" s="399">
        <f t="shared" si="50"/>
        <v>250.39</v>
      </c>
    </row>
    <row r="39" spans="41:85" x14ac:dyDescent="0.25">
      <c r="AS39" s="388"/>
      <c r="AT39" s="388"/>
      <c r="AU39" s="388"/>
      <c r="AV39" s="388"/>
      <c r="AW39" s="388"/>
      <c r="AX39" s="388"/>
      <c r="AY39" s="388"/>
      <c r="AZ39" s="388"/>
      <c r="BA39" s="388"/>
    </row>
    <row r="40" spans="41:85" x14ac:dyDescent="0.25">
      <c r="AO40" s="397" t="s">
        <v>298</v>
      </c>
      <c r="AS40" s="400">
        <f t="shared" ref="AS40:BA40" si="51">SUM(AS36,AS38)</f>
        <v>0</v>
      </c>
      <c r="AT40" s="400">
        <f t="shared" si="51"/>
        <v>1925</v>
      </c>
      <c r="AU40" s="400">
        <f t="shared" si="51"/>
        <v>353.26</v>
      </c>
      <c r="AV40" s="400">
        <f t="shared" si="51"/>
        <v>1925</v>
      </c>
      <c r="AW40" s="400">
        <f t="shared" si="51"/>
        <v>0</v>
      </c>
      <c r="AX40" s="400">
        <f t="shared" si="51"/>
        <v>353.26</v>
      </c>
      <c r="AY40" s="400">
        <f t="shared" si="51"/>
        <v>1925</v>
      </c>
      <c r="AZ40" s="400">
        <f t="shared" si="51"/>
        <v>0</v>
      </c>
      <c r="BA40" s="400">
        <f t="shared" si="51"/>
        <v>353.26</v>
      </c>
      <c r="BY40" s="393"/>
      <c r="CG40" s="393"/>
    </row>
    <row r="41" spans="41:85" x14ac:dyDescent="0.25">
      <c r="AS41" s="388"/>
      <c r="AT41" s="388"/>
      <c r="AU41" s="388"/>
      <c r="AV41" s="388"/>
      <c r="AW41" s="388"/>
      <c r="AX41" s="388"/>
      <c r="AY41" s="388"/>
      <c r="AZ41" s="388"/>
      <c r="BA41" s="388"/>
    </row>
    <row r="42" spans="41:85" x14ac:dyDescent="0.25">
      <c r="AO42" s="398" t="s">
        <v>299</v>
      </c>
      <c r="AS42" s="401">
        <f t="shared" ref="AS42:BA42" si="52">SUM(AS32,AS40)</f>
        <v>4.5</v>
      </c>
      <c r="AT42" s="402">
        <f t="shared" si="52"/>
        <v>321542.11</v>
      </c>
      <c r="AU42" s="402">
        <f t="shared" si="52"/>
        <v>119186.98000000001</v>
      </c>
      <c r="AV42" s="402">
        <f t="shared" si="52"/>
        <v>350460.2</v>
      </c>
      <c r="AW42" s="402">
        <f t="shared" si="52"/>
        <v>60000</v>
      </c>
      <c r="AX42" s="402">
        <f t="shared" si="52"/>
        <v>72243.932932000011</v>
      </c>
      <c r="AY42" s="402">
        <f t="shared" si="52"/>
        <v>350460.2</v>
      </c>
      <c r="AZ42" s="402">
        <f t="shared" si="52"/>
        <v>66000</v>
      </c>
      <c r="BA42" s="402">
        <f t="shared" si="52"/>
        <v>73010.710372000001</v>
      </c>
    </row>
  </sheetData>
  <mergeCells count="5">
    <mergeCell ref="AT24:AU24"/>
    <mergeCell ref="AV24:AV25"/>
    <mergeCell ref="AW24:AX24"/>
    <mergeCell ref="AY24:AY25"/>
    <mergeCell ref="AZ24:BA24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D11" sqref="D11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81"/>
      <c r="B1" s="481"/>
      <c r="C1" s="481"/>
      <c r="D1" s="481"/>
      <c r="E1" s="481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2023</v>
      </c>
      <c r="D4" s="6">
        <f>FiscalYear</f>
        <v>2024</v>
      </c>
      <c r="E4" s="7" t="str">
        <f>"DIFFERENCE "&amp;D4&amp;" - "&amp;C4</f>
        <v>DIFFERENCE 2024 - 2023</v>
      </c>
      <c r="F4" s="247" t="str">
        <f>"MAX "&amp;C4</f>
        <v>MAX 2023</v>
      </c>
      <c r="G4" s="247" t="str">
        <f>"MAX "&amp;D4</f>
        <v>MAX 2024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142800</v>
      </c>
      <c r="G5" s="248">
        <v>147000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0</v>
      </c>
      <c r="D7" s="226">
        <v>0</v>
      </c>
      <c r="E7" s="313">
        <f t="shared" si="0"/>
        <v>0</v>
      </c>
    </row>
    <row r="8" spans="1:15" x14ac:dyDescent="0.3">
      <c r="A8" s="3"/>
      <c r="B8" s="130" t="s">
        <v>5</v>
      </c>
      <c r="C8" s="235">
        <v>2.8999999999999998E-3</v>
      </c>
      <c r="D8" s="234">
        <v>1.2699999999999999E-2</v>
      </c>
      <c r="E8" s="314">
        <f t="shared" si="0"/>
        <v>9.7999999999999997E-3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5.535E-3</v>
      </c>
      <c r="D11" s="348">
        <v>5.535E-3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9.2144999999999991E-2</v>
      </c>
      <c r="D12" s="234">
        <f>SUM(D5:D11)</f>
        <v>0.10194499999999999</v>
      </c>
      <c r="E12" s="315">
        <f>D12-C12</f>
        <v>9.8000000000000032E-3</v>
      </c>
      <c r="M12" s="320"/>
    </row>
    <row r="13" spans="1:15" x14ac:dyDescent="0.3">
      <c r="A13" s="3"/>
      <c r="B13" s="231" t="s">
        <v>9</v>
      </c>
      <c r="C13" s="226">
        <f>SUM(C5:C8)</f>
        <v>7.9399999999999998E-2</v>
      </c>
      <c r="D13" s="226">
        <f>SUM(D5:D8)</f>
        <v>8.9200000000000002E-2</v>
      </c>
      <c r="E13" s="313">
        <f t="shared" si="0"/>
        <v>9.8000000000000032E-3</v>
      </c>
      <c r="F13" s="8"/>
    </row>
    <row r="14" spans="1:15" x14ac:dyDescent="0.3">
      <c r="A14" s="230"/>
      <c r="B14" s="232" t="s">
        <v>100</v>
      </c>
      <c r="C14" s="226">
        <f>SUM(C5:C6,C8:C9)</f>
        <v>8.6609999999999993E-2</v>
      </c>
      <c r="D14" s="226">
        <f>SUM(D5:D6,D8:D9)</f>
        <v>9.6409999999999996E-2</v>
      </c>
      <c r="E14" s="313">
        <f>D14-C14</f>
        <v>9.8000000000000032E-3</v>
      </c>
      <c r="M14" s="320"/>
    </row>
    <row r="15" spans="1:15" x14ac:dyDescent="0.3">
      <c r="A15" s="3"/>
      <c r="B15" s="231" t="s">
        <v>12</v>
      </c>
      <c r="C15" s="228">
        <v>12500</v>
      </c>
      <c r="D15" s="228">
        <v>13750</v>
      </c>
      <c r="E15" s="311">
        <f t="shared" si="0"/>
        <v>1250</v>
      </c>
      <c r="L15" s="8"/>
      <c r="O15" s="9"/>
    </row>
    <row r="16" spans="1:15" x14ac:dyDescent="0.3">
      <c r="A16" s="3"/>
      <c r="B16" s="231" t="s">
        <v>80</v>
      </c>
      <c r="C16" s="229">
        <v>10000</v>
      </c>
      <c r="D16" s="229">
        <v>11000</v>
      </c>
      <c r="E16" s="312">
        <f>PTHealthBY-PTHealth</f>
        <v>1000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79</v>
      </c>
      <c r="C19" s="227">
        <f>C4</f>
        <v>2023</v>
      </c>
      <c r="D19" s="227">
        <f>BudgetYear</f>
        <v>2024</v>
      </c>
      <c r="E19" s="11" t="str">
        <f>E4</f>
        <v>DIFFERENCE 2024 - 2023</v>
      </c>
    </row>
    <row r="20" spans="1:11" x14ac:dyDescent="0.3">
      <c r="A20" s="1" t="s">
        <v>66</v>
      </c>
      <c r="B20" s="216" t="s">
        <v>73</v>
      </c>
      <c r="C20" s="362">
        <v>0.11940000000000001</v>
      </c>
      <c r="D20" s="362">
        <v>0.1118</v>
      </c>
      <c r="E20" s="363">
        <f>D20-C20</f>
        <v>-7.6000000000000095E-3</v>
      </c>
    </row>
    <row r="21" spans="1:11" x14ac:dyDescent="0.3">
      <c r="A21" s="1" t="s">
        <v>68</v>
      </c>
      <c r="B21" s="1" t="s">
        <v>74</v>
      </c>
      <c r="C21" s="362">
        <v>0.12280000000000001</v>
      </c>
      <c r="D21" s="362">
        <v>0.1326</v>
      </c>
      <c r="E21" s="363">
        <f t="shared" ref="E21" si="1">D21-C21</f>
        <v>9.7999999999999893E-3</v>
      </c>
    </row>
    <row r="22" spans="1:11" x14ac:dyDescent="0.3">
      <c r="A22" s="1" t="s">
        <v>69</v>
      </c>
      <c r="B22" s="1" t="s">
        <v>75</v>
      </c>
      <c r="C22" s="362">
        <v>0.11940000000000001</v>
      </c>
      <c r="D22" s="362">
        <v>0.1118</v>
      </c>
      <c r="E22" s="363">
        <f>D22-C22</f>
        <v>-7.6000000000000095E-3</v>
      </c>
    </row>
    <row r="23" spans="1:11" hidden="1" x14ac:dyDescent="0.3">
      <c r="A23" s="1" t="s">
        <v>70</v>
      </c>
      <c r="B23" s="1" t="s">
        <v>76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67</v>
      </c>
      <c r="B24" s="1" t="s">
        <v>77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72</v>
      </c>
      <c r="B25" s="1" t="s">
        <v>78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71</v>
      </c>
      <c r="B26" s="1" t="s">
        <v>78</v>
      </c>
      <c r="C26" s="362">
        <v>0.1084</v>
      </c>
      <c r="D26" s="362">
        <v>0.1084</v>
      </c>
      <c r="E26" s="363">
        <f>D26-C26</f>
        <v>0</v>
      </c>
    </row>
    <row r="27" spans="1:11" x14ac:dyDescent="0.3">
      <c r="B27" s="364" t="s">
        <v>118</v>
      </c>
      <c r="C27" s="364">
        <v>0.11940000000000001</v>
      </c>
      <c r="D27" s="364">
        <v>0.12690000000000001</v>
      </c>
      <c r="E27" s="364">
        <f>D27-C27</f>
        <v>7.5000000000000067E-3</v>
      </c>
    </row>
    <row r="28" spans="1:11" x14ac:dyDescent="0.3">
      <c r="A28" s="482" t="s">
        <v>108</v>
      </c>
      <c r="B28" s="482"/>
      <c r="C28" s="482"/>
      <c r="D28" s="482"/>
      <c r="E28" s="482"/>
    </row>
    <row r="29" spans="1:11" x14ac:dyDescent="0.3">
      <c r="A29" s="482" t="s">
        <v>109</v>
      </c>
      <c r="B29" s="482"/>
      <c r="C29" s="482"/>
      <c r="D29" s="482"/>
      <c r="E29" s="482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86</v>
      </c>
      <c r="B31" s="316"/>
      <c r="C31" s="247"/>
      <c r="D31" s="247"/>
      <c r="E31" s="247"/>
    </row>
    <row r="32" spans="1:11" x14ac:dyDescent="0.3">
      <c r="A32" s="316"/>
      <c r="B32" s="316" t="s">
        <v>87</v>
      </c>
      <c r="C32" s="247"/>
      <c r="D32" s="247"/>
      <c r="E32" s="247"/>
    </row>
    <row r="33" spans="1:5" x14ac:dyDescent="0.3">
      <c r="A33" s="316"/>
      <c r="B33" s="316" t="s">
        <v>88</v>
      </c>
      <c r="C33" s="247"/>
      <c r="D33" s="247"/>
      <c r="E33" s="247"/>
    </row>
    <row r="34" spans="1:5" x14ac:dyDescent="0.3">
      <c r="A34" s="316"/>
      <c r="B34" s="316" t="s">
        <v>89</v>
      </c>
      <c r="C34" s="247"/>
      <c r="D34" s="247"/>
      <c r="E34" s="247"/>
    </row>
    <row r="35" spans="1:5" x14ac:dyDescent="0.3">
      <c r="A35" s="316"/>
      <c r="B35" s="316" t="s">
        <v>90</v>
      </c>
      <c r="C35" s="247"/>
      <c r="D35" s="247"/>
      <c r="E35" s="247"/>
    </row>
    <row r="36" spans="1:5" x14ac:dyDescent="0.3">
      <c r="A36" s="316"/>
      <c r="B36" s="316" t="s">
        <v>91</v>
      </c>
      <c r="C36" s="247"/>
      <c r="D36" s="247"/>
      <c r="E36" s="247"/>
    </row>
    <row r="38" spans="1:5" x14ac:dyDescent="0.3">
      <c r="B38" s="317" t="s">
        <v>101</v>
      </c>
      <c r="C38" s="318">
        <v>0.01</v>
      </c>
    </row>
    <row r="39" spans="1:5" x14ac:dyDescent="0.3">
      <c r="B39" s="341" t="s">
        <v>102</v>
      </c>
      <c r="C39" s="340">
        <v>0.01</v>
      </c>
    </row>
    <row r="40" spans="1:5" x14ac:dyDescent="0.3">
      <c r="B40" s="342" t="s">
        <v>107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71"/>
      <c r="N1" s="472"/>
      <c r="AA1" s="337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111</v>
      </c>
      <c r="M2" s="473"/>
      <c r="N2" s="474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112</v>
      </c>
      <c r="M3" s="471"/>
      <c r="N3" s="472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1">
        <v>2024</v>
      </c>
      <c r="N4" s="472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3"/>
      <c r="J5" s="475"/>
      <c r="K5" s="475"/>
      <c r="L5" s="474"/>
      <c r="M5" s="352" t="s">
        <v>113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76" t="s">
        <v>22</v>
      </c>
      <c r="D8" s="477"/>
      <c r="E8" s="332" t="s">
        <v>23</v>
      </c>
      <c r="F8" s="49" t="s">
        <v>24</v>
      </c>
      <c r="G8" s="50" t="str">
        <f>"FY "&amp;[0]!FiscalYear-1&amp;" SALARY"</f>
        <v>FY 2023 SALARY</v>
      </c>
      <c r="H8" s="50" t="str">
        <f>"FY "&amp;[0]!FiscalYear-1&amp;" HEALTH BENEFITS"</f>
        <v>FY 2023 HEALTH BENEFITS</v>
      </c>
      <c r="I8" s="50" t="str">
        <f>"FY "&amp;[0]!FiscalYear-1&amp;" VAR BENEFITS"</f>
        <v>FY 2023 VAR BENEFITS</v>
      </c>
      <c r="J8" s="50" t="str">
        <f>"FY "&amp;[0]!FiscalYear-1&amp;" TOTAL"</f>
        <v>FY 2023 TOTAL</v>
      </c>
      <c r="K8" s="50" t="str">
        <f>"FY "&amp;[0]!FiscalYear&amp;" SALARY CHANGE"</f>
        <v>FY 2024 SALARY CHANGE</v>
      </c>
      <c r="L8" s="50" t="str">
        <f>"FY "&amp;[0]!FiscalYear&amp;" CHG HEALTH BENEFITS"</f>
        <v>FY 2024 CHG HEALTH BENEFITS</v>
      </c>
      <c r="M8" s="50" t="str">
        <f>"FY "&amp;[0]!FiscalYear&amp;"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7" t="s">
        <v>103</v>
      </c>
      <c r="AB8" s="467"/>
      <c r="AC8" s="467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8" t="s">
        <v>26</v>
      </c>
      <c r="D9" s="469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7" t="s">
        <v>27</v>
      </c>
      <c r="D10" s="470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7" t="s">
        <v>28</v>
      </c>
      <c r="D11" s="470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7" t="s">
        <v>29</v>
      </c>
      <c r="D12" s="448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7" t="s">
        <v>30</v>
      </c>
      <c r="D13" s="470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2023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7" t="s">
        <v>32</v>
      </c>
      <c r="D16" s="458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IF([0]!OrigApprop=0,"No Original Appropriation amount in DU 3.00 for this fund","Calculated "&amp;IF([0]!AdjustedTotal&gt;0,"overfunding ","underfunding ")&amp;"is "&amp;TEXT([0]!AdjustedTotal/[0]!AppropTotal,"#.0%;(#.0% );0% ;")&amp;" of Original Appropriation")</f>
        <v>No Original Appropriation amount in DU 3.00 for this fund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9" t="s">
        <v>34</v>
      </c>
      <c r="D17" s="460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1" t="s">
        <v>35</v>
      </c>
      <c r="D18" s="462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3" t="s">
        <v>37</v>
      </c>
      <c r="D37" s="464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5" t="s">
        <v>105</v>
      </c>
      <c r="AB37" s="466"/>
      <c r="AC37" s="466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7" t="str">
        <f>perm_name</f>
        <v>Permanent Positions</v>
      </c>
      <c r="D38" s="448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7" t="str">
        <f>Group_name</f>
        <v>Board &amp; Group Positions</v>
      </c>
      <c r="D39" s="44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7" t="s">
        <v>38</v>
      </c>
      <c r="D41" s="448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9"/>
      <c r="D42" s="450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1" t="s">
        <v>39</v>
      </c>
      <c r="D43" s="452"/>
      <c r="E43" s="203" t="s">
        <v>40</v>
      </c>
      <c r="F43" s="205">
        <f>ROUND(F51-F41,2)</f>
        <v>0</v>
      </c>
      <c r="G43" s="206">
        <f>G51-G41</f>
        <v>0</v>
      </c>
      <c r="H43" s="159">
        <f>H51-H41</f>
        <v>0</v>
      </c>
      <c r="I43" s="159">
        <f>I51-I41</f>
        <v>0</v>
      </c>
      <c r="J43" s="159">
        <f>SUM(G43:I43)</f>
        <v>0</v>
      </c>
      <c r="K43" s="428" t="str">
        <f>IF(E51=0,"No Original Appropriation amount in DU 3.00 for this fund","Calculated "&amp;IF(J43&gt;0,"overfunding ","underfunding ")&amp;"is "&amp;TEXT(J43/J51,"#.0%;(#.0% );0%;")&amp;" of Original Appropriation")</f>
        <v>No Original Appropriation amount in DU 3.00 for this fund</v>
      </c>
      <c r="L43" s="429"/>
      <c r="M43" s="429"/>
      <c r="N43" s="430"/>
      <c r="O43"/>
      <c r="P43"/>
      <c r="Q43"/>
      <c r="R43"/>
      <c r="S43"/>
      <c r="T43"/>
      <c r="U43"/>
      <c r="V43"/>
      <c r="W43"/>
      <c r="X43"/>
      <c r="Y43"/>
      <c r="Z43" s="344"/>
      <c r="AA43" s="455" t="s">
        <v>106</v>
      </c>
      <c r="AB43" s="456"/>
      <c r="AC43" s="456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3"/>
      <c r="D44" s="454"/>
      <c r="E44" s="204" t="s">
        <v>41</v>
      </c>
      <c r="F44" s="205">
        <f>ROUND(F60-F41,2)</f>
        <v>0</v>
      </c>
      <c r="G44" s="206">
        <f>G60-G41</f>
        <v>0</v>
      </c>
      <c r="H44" s="159">
        <f>H60-H41</f>
        <v>0</v>
      </c>
      <c r="I44" s="159">
        <f>I60-I41</f>
        <v>0</v>
      </c>
      <c r="J44" s="159">
        <f>SUM(G44:I44)</f>
        <v>0</v>
      </c>
      <c r="K44" s="42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This fund has zero estimated expenditures in DU 7.00</v>
      </c>
      <c r="L44" s="429"/>
      <c r="M44" s="429"/>
      <c r="N44" s="43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>
        <f>G67-G41-G63</f>
        <v>0</v>
      </c>
      <c r="H45" s="206">
        <f>H67-H41-H63</f>
        <v>0</v>
      </c>
      <c r="I45" s="206">
        <f>I67-I41-I63</f>
        <v>0</v>
      </c>
      <c r="J45" s="159">
        <f>SUM(G45:I45)</f>
        <v>0</v>
      </c>
      <c r="K45" s="428" t="str">
        <f>IF(J67=0,"This fund has a $0 Base in DU 9.00",IF(J67=0,"ERROR! Verify/enter 8 series adjustments!","Calculated "&amp;IF(J45&gt;0,"overfunding ","underfunding ")&amp;"is "&amp;TEXT(J45/J67,"#.0%;(#.0% );0%;")&amp;" of the Base"))</f>
        <v>This fund has a $0 Base in DU 9.00</v>
      </c>
      <c r="L45" s="429"/>
      <c r="M45" s="429"/>
      <c r="N45" s="43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1" t="s">
        <v>98</v>
      </c>
      <c r="F46" s="432"/>
      <c r="G46" s="432"/>
      <c r="H46" s="432"/>
      <c r="I46" s="432"/>
      <c r="J46" s="433"/>
      <c r="K46" s="437" t="str">
        <f>IF(OR(J45&lt;0,F45&lt;0),"You may not have sufficient funding or authorized FTP, and may need to make additional adjustments to finalize this form.  Please contact both your DFM and LSO analysts.","")</f>
        <v/>
      </c>
      <c r="L46" s="438"/>
      <c r="M46" s="438"/>
      <c r="N46" s="439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4"/>
      <c r="F47" s="435"/>
      <c r="G47" s="435"/>
      <c r="H47" s="435"/>
      <c r="I47" s="435"/>
      <c r="J47" s="436"/>
      <c r="K47" s="440"/>
      <c r="L47" s="441"/>
      <c r="M47" s="441"/>
      <c r="N47" s="442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3"/>
      <c r="D50" s="44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10" t="s">
        <v>48</v>
      </c>
      <c r="D54" s="411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3" t="s">
        <v>49</v>
      </c>
      <c r="D55" s="424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1" t="s">
        <v>51</v>
      </c>
      <c r="D57" s="425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6" t="s">
        <v>116</v>
      </c>
      <c r="D58" s="427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6" t="s">
        <v>52</v>
      </c>
      <c r="D59" s="427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1" t="s">
        <v>54</v>
      </c>
      <c r="D61" s="425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10" t="s">
        <v>65</v>
      </c>
      <c r="D62" s="411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10" t="s">
        <v>55</v>
      </c>
      <c r="D63" s="411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5" t="s">
        <v>56</v>
      </c>
      <c r="D64" s="41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7"/>
      <c r="D65" s="41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9"/>
      <c r="D66" s="42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1" t="s">
        <v>58</v>
      </c>
      <c r="D68" s="422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1" t="s">
        <v>59</v>
      </c>
      <c r="D69" s="422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8"/>
      <c r="D70" s="409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10" t="s">
        <v>60</v>
      </c>
      <c r="D71" s="411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10" t="s">
        <v>99</v>
      </c>
      <c r="D72" s="412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10" t="s">
        <v>117</v>
      </c>
      <c r="D73" s="412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61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3" t="s">
        <v>63</v>
      </c>
      <c r="D76" s="414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6"/>
      <c r="D77" s="407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6"/>
      <c r="D78" s="407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6"/>
      <c r="D79" s="407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  <mergeCell ref="M1:N1"/>
    <mergeCell ref="M2:N2"/>
    <mergeCell ref="M3:N3"/>
    <mergeCell ref="M4:N4"/>
    <mergeCell ref="I5:L5"/>
    <mergeCell ref="C64:D64"/>
    <mergeCell ref="C57:D57"/>
    <mergeCell ref="C58:D58"/>
    <mergeCell ref="C59:D59"/>
    <mergeCell ref="K45:N45"/>
    <mergeCell ref="K46:N47"/>
    <mergeCell ref="E46:J47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</mergeCells>
  <conditionalFormatting sqref="K44">
    <cfRule type="expression" dxfId="9" priority="8">
      <formula>$J$44&lt;0</formula>
    </cfRule>
  </conditionalFormatting>
  <conditionalFormatting sqref="K43">
    <cfRule type="expression" dxfId="8" priority="7">
      <formula>$J$43&lt;0</formula>
    </cfRule>
  </conditionalFormatting>
  <conditionalFormatting sqref="L16">
    <cfRule type="expression" dxfId="7" priority="6">
      <formula>$J$16&lt;0</formula>
    </cfRule>
  </conditionalFormatting>
  <conditionalFormatting sqref="K45">
    <cfRule type="expression" dxfId="6" priority="5">
      <formula>$J$44&lt;0</formula>
    </cfRule>
  </conditionalFormatting>
  <conditionalFormatting sqref="K43:N45">
    <cfRule type="containsText" dxfId="5" priority="4" operator="containsText" text="underfunding">
      <formula>NOT(ISERROR(SEARCH("underfunding",K43)))</formula>
    </cfRule>
  </conditionalFormatting>
  <conditionalFormatting sqref="K44">
    <cfRule type="expression" dxfId="4" priority="3">
      <formula>$J$44&lt;0</formula>
    </cfRule>
  </conditionalFormatting>
  <conditionalFormatting sqref="K45">
    <cfRule type="expression" dxfId="3" priority="2">
      <formula>$J$44&lt;0</formula>
    </cfRule>
  </conditionalFormatting>
  <conditionalFormatting sqref="K45">
    <cfRule type="expression" dxfId="2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21"/>
  <sheetViews>
    <sheetView workbookViewId="0">
      <selection activeCell="A13" sqref="A13:L21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6" t="s">
        <v>280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ht="39" x14ac:dyDescent="0.25">
      <c r="A2" s="476" t="s">
        <v>22</v>
      </c>
      <c r="B2" s="477"/>
      <c r="C2" s="371" t="s">
        <v>23</v>
      </c>
      <c r="D2" s="49" t="s">
        <v>24</v>
      </c>
      <c r="E2" s="50" t="str">
        <f>"FY "&amp;'EDAB|0001-00'!FiscalYear-1&amp;" SALARY"</f>
        <v>FY 2023 SALARY</v>
      </c>
      <c r="F2" s="50" t="str">
        <f>"FY "&amp;'EDAB|0001-00'!FiscalYear-1&amp;" HEALTH BENEFITS"</f>
        <v>FY 2023 HEALTH BENEFITS</v>
      </c>
      <c r="G2" s="50" t="str">
        <f>"FY "&amp;'EDAB|0001-00'!FiscalYear-1&amp;" VAR BENEFITS"</f>
        <v>FY 2023 VAR BENEFITS</v>
      </c>
      <c r="H2" s="50" t="str">
        <f>"FY "&amp;'EDAB|0001-00'!FiscalYear-1&amp;" TOTAL"</f>
        <v>FY 2023 TOTAL</v>
      </c>
      <c r="I2" s="50" t="str">
        <f>"FY "&amp;'EDAB|0001-00'!FiscalYear&amp;" SALARY CHANGE"</f>
        <v>FY 2024 SALARY CHANGE</v>
      </c>
      <c r="J2" s="50" t="str">
        <f>"FY "&amp;'EDAB|0001-00'!FiscalYear&amp;" CHG HEALTH BENEFITS"</f>
        <v>FY 2024 CHG HEALTH BENEFITS</v>
      </c>
      <c r="K2" s="50" t="str">
        <f>"FY "&amp;'EDAB|0001-00'!FiscalYear&amp;" CHG VAR BENEFITS"</f>
        <v>FY 2024 CHG VAR BENEFITS</v>
      </c>
      <c r="L2" s="50" t="s">
        <v>25</v>
      </c>
    </row>
    <row r="3" spans="1:12" x14ac:dyDescent="0.25">
      <c r="A3" s="468" t="s">
        <v>26</v>
      </c>
      <c r="B3" s="469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47" t="s">
        <v>27</v>
      </c>
      <c r="B4" s="470"/>
      <c r="C4" s="217">
        <v>1</v>
      </c>
      <c r="D4" s="288">
        <f>[0]!EDAB000100col_INC_FTI</f>
        <v>1</v>
      </c>
      <c r="E4" s="218">
        <f>[0]!EDAB000100col_FTI_SALARY_PERM</f>
        <v>115564.8</v>
      </c>
      <c r="F4" s="218">
        <f>[0]!EDAB000100col_HEALTH_PERM</f>
        <v>12500</v>
      </c>
      <c r="G4" s="218">
        <f>[0]!EDAB000100col_TOT_VB_PERM</f>
        <v>23807.504448</v>
      </c>
      <c r="H4" s="219">
        <f>SUM(E4:G4)</f>
        <v>151872.30444800001</v>
      </c>
      <c r="I4" s="219">
        <f>[0]!EDAB000100col_1_27TH_PP</f>
        <v>0</v>
      </c>
      <c r="J4" s="218">
        <f>[0]!EDAB000100col_HEALTH_PERM_CHG</f>
        <v>1250</v>
      </c>
      <c r="K4" s="218">
        <f>[0]!EDAB000100col_TOT_VB_PERM_CHG</f>
        <v>254.24255999999889</v>
      </c>
      <c r="L4" s="218">
        <f>SUM(J4:K4)</f>
        <v>1504.2425599999988</v>
      </c>
    </row>
    <row r="5" spans="1:12" x14ac:dyDescent="0.25">
      <c r="A5" s="447" t="s">
        <v>28</v>
      </c>
      <c r="B5" s="470"/>
      <c r="C5" s="217">
        <v>2</v>
      </c>
      <c r="D5" s="288"/>
      <c r="E5" s="218">
        <f>[0]!EDAB000100col_Group_Salary</f>
        <v>525</v>
      </c>
      <c r="F5" s="218">
        <v>0</v>
      </c>
      <c r="G5" s="218">
        <f>[0]!EDAB000100col_Group_Ben</f>
        <v>102.87</v>
      </c>
      <c r="H5" s="219">
        <f>SUM(E5:G5)</f>
        <v>627.87</v>
      </c>
      <c r="I5" s="268"/>
      <c r="J5" s="218"/>
      <c r="K5" s="218"/>
      <c r="L5" s="218"/>
    </row>
    <row r="6" spans="1:12" x14ac:dyDescent="0.25">
      <c r="A6" s="447" t="s">
        <v>29</v>
      </c>
      <c r="B6" s="448"/>
      <c r="C6" s="217">
        <v>3</v>
      </c>
      <c r="D6" s="288">
        <f>[0]!EDAB000100col_TOTAL_ELECT_PCN_FTI</f>
        <v>0</v>
      </c>
      <c r="E6" s="218">
        <f>[0]!EDAB000100col_FTI_SALARY_ELECT</f>
        <v>0</v>
      </c>
      <c r="F6" s="218">
        <f>[0]!EDAB000100col_HEALTH_ELECT</f>
        <v>0</v>
      </c>
      <c r="G6" s="218">
        <f>[0]!EDAB000100col_TOT_VB_ELECT</f>
        <v>0</v>
      </c>
      <c r="H6" s="219">
        <f>SUM(E6:G6)</f>
        <v>0</v>
      </c>
      <c r="I6" s="268"/>
      <c r="J6" s="218">
        <f>[0]!EDAB000100col_HEALTH_ELECT_CHG</f>
        <v>0</v>
      </c>
      <c r="K6" s="218">
        <f>[0]!EDAB000100col_TOT_VB_ELECT_CHG</f>
        <v>0</v>
      </c>
      <c r="L6" s="219">
        <f>SUM(J6:K6)</f>
        <v>0</v>
      </c>
    </row>
    <row r="7" spans="1:12" x14ac:dyDescent="0.25">
      <c r="A7" s="447" t="s">
        <v>30</v>
      </c>
      <c r="B7" s="470"/>
      <c r="C7" s="217"/>
      <c r="D7" s="220">
        <f>SUM(D4:D6)</f>
        <v>1</v>
      </c>
      <c r="E7" s="221">
        <f>SUM(E4:E6)</f>
        <v>116089.8</v>
      </c>
      <c r="F7" s="221">
        <f>SUM(F4:F6)</f>
        <v>12500</v>
      </c>
      <c r="G7" s="221">
        <f>SUM(G4:G6)</f>
        <v>23910.374447999999</v>
      </c>
      <c r="H7" s="219">
        <f>SUM(E7:G7)</f>
        <v>152500.17444800001</v>
      </c>
      <c r="I7" s="268"/>
      <c r="J7" s="219">
        <f>SUM(J4:J6)</f>
        <v>1250</v>
      </c>
      <c r="K7" s="219">
        <f>SUM(K4:K6)</f>
        <v>254.24255999999889</v>
      </c>
      <c r="L7" s="219">
        <f>SUM(L4:L6)</f>
        <v>1504.2425599999988</v>
      </c>
    </row>
    <row r="8" spans="1:12" x14ac:dyDescent="0.25">
      <c r="A8" s="366"/>
      <c r="B8" s="372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"&amp;'EDAB|0001-00'!FiscalYear-1</f>
        <v>FY 2023</v>
      </c>
      <c r="B9" s="158" t="s">
        <v>31</v>
      </c>
      <c r="C9" s="355">
        <v>134800</v>
      </c>
      <c r="D9" s="55">
        <v>1.5</v>
      </c>
      <c r="E9" s="223">
        <f>IF('EDAB|0001-00'!OrigApprop=0,0,(E7/H7)*'EDAB|0001-00'!OrigApprop)</f>
        <v>102615.65336986558</v>
      </c>
      <c r="F9" s="223">
        <f>IF('EDAB|0001-00'!OrigApprop=0,0,(F7/H7)*'EDAB|0001-00'!OrigApprop)</f>
        <v>11049.167688490459</v>
      </c>
      <c r="G9" s="223">
        <f>IF(E9=0,0,(G7/H7)*'EDAB|0001-00'!OrigApprop)</f>
        <v>21135.178941643957</v>
      </c>
      <c r="H9" s="223">
        <f>SUM(E9:G9)</f>
        <v>134800</v>
      </c>
      <c r="I9" s="268"/>
      <c r="J9" s="224"/>
      <c r="K9" s="224"/>
      <c r="L9" s="224"/>
    </row>
    <row r="10" spans="1:12" x14ac:dyDescent="0.25">
      <c r="A10" s="457" t="s">
        <v>32</v>
      </c>
      <c r="B10" s="458"/>
      <c r="C10" s="160" t="s">
        <v>33</v>
      </c>
      <c r="D10" s="161">
        <f>D9-D7</f>
        <v>0.5</v>
      </c>
      <c r="E10" s="162">
        <f>E9-E7</f>
        <v>-13474.146630134419</v>
      </c>
      <c r="F10" s="162">
        <f>F9-F7</f>
        <v>-1450.8323115095409</v>
      </c>
      <c r="G10" s="162">
        <f>G9-G7</f>
        <v>-2775.1955063560417</v>
      </c>
      <c r="H10" s="162">
        <f>H9-H7</f>
        <v>-17700.174448000005</v>
      </c>
      <c r="I10" s="269"/>
      <c r="J10" s="56" t="str">
        <f>IF('EDAB|0001-00'!OrigApprop=0,"No Original Appropriation amount in DU 3.00 for this fund","Calculated "&amp;IF('EDAB|0001-00'!AdjustedTotal&gt;0,"overfunding ","underfunding ")&amp;"is "&amp;TEXT('EDAB|0001-00'!AdjustedTotal/'EDAB|0001-00'!AppropTotal,"#.0%;(#.0% );0% ;")&amp;" of Original Appropriation")</f>
        <v>Calculated underfunding is (13.1% ) of Original Appropriation</v>
      </c>
      <c r="K10" s="163"/>
      <c r="L10" s="164"/>
    </row>
    <row r="12" spans="1:12" x14ac:dyDescent="0.25">
      <c r="A12" s="396" t="s">
        <v>286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</row>
    <row r="13" spans="1:12" ht="39" x14ac:dyDescent="0.25">
      <c r="A13" s="476" t="s">
        <v>22</v>
      </c>
      <c r="B13" s="477"/>
      <c r="C13" s="371" t="s">
        <v>23</v>
      </c>
      <c r="D13" s="49" t="s">
        <v>24</v>
      </c>
      <c r="E13" s="50" t="str">
        <f>"FY "&amp;'EDAB|0325-33'!FiscalYear-1&amp;" SALARY"</f>
        <v>FY 2023 SALARY</v>
      </c>
      <c r="F13" s="50" t="str">
        <f>"FY "&amp;'EDAB|0325-33'!FiscalYear-1&amp;" HEALTH BENEFITS"</f>
        <v>FY 2023 HEALTH BENEFITS</v>
      </c>
      <c r="G13" s="50" t="str">
        <f>"FY "&amp;'EDAB|0325-33'!FiscalYear-1&amp;" VAR BENEFITS"</f>
        <v>FY 2023 VAR BENEFITS</v>
      </c>
      <c r="H13" s="50" t="str">
        <f>"FY "&amp;'EDAB|0325-33'!FiscalYear-1&amp;" TOTAL"</f>
        <v>FY 2023 TOTAL</v>
      </c>
      <c r="I13" s="50" t="str">
        <f>"FY "&amp;'EDAB|0325-33'!FiscalYear&amp;" SALARY CHANGE"</f>
        <v>FY 2024 SALARY CHANGE</v>
      </c>
      <c r="J13" s="50" t="str">
        <f>"FY "&amp;'EDAB|0325-33'!FiscalYear&amp;" CHG HEALTH BENEFITS"</f>
        <v>FY 2024 CHG HEALTH BENEFITS</v>
      </c>
      <c r="K13" s="50" t="str">
        <f>"FY "&amp;'EDAB|0325-33'!FiscalYear&amp;" CHG VAR BENEFITS"</f>
        <v>FY 2024 CHG VAR BENEFITS</v>
      </c>
      <c r="L13" s="50" t="s">
        <v>25</v>
      </c>
    </row>
    <row r="14" spans="1:12" x14ac:dyDescent="0.25">
      <c r="A14" s="468" t="s">
        <v>26</v>
      </c>
      <c r="B14" s="469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 x14ac:dyDescent="0.25">
      <c r="A15" s="447" t="s">
        <v>27</v>
      </c>
      <c r="B15" s="470"/>
      <c r="C15" s="217">
        <v>1</v>
      </c>
      <c r="D15" s="288">
        <f>[0]!EDAB032533col_INC_FTI</f>
        <v>3.5</v>
      </c>
      <c r="E15" s="218">
        <f>[0]!EDAB032533col_FTI_SALARY_PERM</f>
        <v>232970.40000000002</v>
      </c>
      <c r="F15" s="218">
        <f>[0]!EDAB032533col_HEALTH_PERM</f>
        <v>47500</v>
      </c>
      <c r="G15" s="218">
        <f>[0]!EDAB032533col_TOT_VB_PERM</f>
        <v>48083.168484000009</v>
      </c>
      <c r="H15" s="219">
        <f>SUM(E15:G15)</f>
        <v>328553.56848400005</v>
      </c>
      <c r="I15" s="219">
        <f>[0]!EDAB032533col_1_27TH_PP</f>
        <v>0</v>
      </c>
      <c r="J15" s="218">
        <f>[0]!EDAB032533col_HEALTH_PERM_CHG</f>
        <v>4750</v>
      </c>
      <c r="K15" s="218">
        <f>[0]!EDAB032533col_TOT_VB_PERM_CHG</f>
        <v>512.53487999999788</v>
      </c>
      <c r="L15" s="218">
        <f>SUM(J15:K15)</f>
        <v>5262.5348799999974</v>
      </c>
    </row>
    <row r="16" spans="1:12" x14ac:dyDescent="0.25">
      <c r="A16" s="447" t="s">
        <v>28</v>
      </c>
      <c r="B16" s="470"/>
      <c r="C16" s="217">
        <v>2</v>
      </c>
      <c r="D16" s="288"/>
      <c r="E16" s="218">
        <f>[0]!EDAB032533col_Group_Salary</f>
        <v>1400</v>
      </c>
      <c r="F16" s="218">
        <v>0</v>
      </c>
      <c r="G16" s="218">
        <f>[0]!EDAB032533col_Group_Ben</f>
        <v>250.39</v>
      </c>
      <c r="H16" s="219">
        <f>SUM(E16:G16)</f>
        <v>1650.3899999999999</v>
      </c>
      <c r="I16" s="268"/>
      <c r="J16" s="218"/>
      <c r="K16" s="218"/>
      <c r="L16" s="218"/>
    </row>
    <row r="17" spans="1:12" x14ac:dyDescent="0.25">
      <c r="A17" s="447" t="s">
        <v>29</v>
      </c>
      <c r="B17" s="448"/>
      <c r="C17" s="217">
        <v>3</v>
      </c>
      <c r="D17" s="288">
        <f>[0]!EDAB032533col_TOTAL_ELECT_PCN_FTI</f>
        <v>0</v>
      </c>
      <c r="E17" s="218">
        <f>[0]!EDAB032533col_FTI_SALARY_ELECT</f>
        <v>0</v>
      </c>
      <c r="F17" s="218">
        <f>[0]!EDAB032533col_HEALTH_ELECT</f>
        <v>0</v>
      </c>
      <c r="G17" s="218">
        <f>[0]!EDAB032533col_TOT_VB_ELECT</f>
        <v>0</v>
      </c>
      <c r="H17" s="219">
        <f>SUM(E17:G17)</f>
        <v>0</v>
      </c>
      <c r="I17" s="268"/>
      <c r="J17" s="218">
        <f>[0]!EDAB032533col_HEALTH_ELECT_CHG</f>
        <v>0</v>
      </c>
      <c r="K17" s="218">
        <f>[0]!EDAB032533col_TOT_VB_ELECT_CHG</f>
        <v>0</v>
      </c>
      <c r="L17" s="219">
        <f>SUM(J17:K17)</f>
        <v>0</v>
      </c>
    </row>
    <row r="18" spans="1:12" x14ac:dyDescent="0.25">
      <c r="A18" s="447" t="s">
        <v>30</v>
      </c>
      <c r="B18" s="470"/>
      <c r="C18" s="217"/>
      <c r="D18" s="220">
        <f>SUM(D15:D17)</f>
        <v>3.5</v>
      </c>
      <c r="E18" s="221">
        <f>SUM(E15:E17)</f>
        <v>234370.40000000002</v>
      </c>
      <c r="F18" s="221">
        <f>SUM(F15:F17)</f>
        <v>47500</v>
      </c>
      <c r="G18" s="221">
        <f>SUM(G15:G17)</f>
        <v>48333.558484000008</v>
      </c>
      <c r="H18" s="219">
        <f>SUM(E18:G18)</f>
        <v>330203.95848400006</v>
      </c>
      <c r="I18" s="268"/>
      <c r="J18" s="219">
        <f>SUM(J15:J17)</f>
        <v>4750</v>
      </c>
      <c r="K18" s="219">
        <f>SUM(K15:K17)</f>
        <v>512.53487999999788</v>
      </c>
      <c r="L18" s="219">
        <f>SUM(L15:L17)</f>
        <v>5262.5348799999974</v>
      </c>
    </row>
    <row r="19" spans="1:12" x14ac:dyDescent="0.25">
      <c r="A19" s="366"/>
      <c r="B19" s="372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 x14ac:dyDescent="0.25">
      <c r="A20" s="157" t="str">
        <f>"FY "&amp;'EDAB|0325-33'!FiscalYear-1</f>
        <v>FY 2023</v>
      </c>
      <c r="B20" s="158" t="s">
        <v>31</v>
      </c>
      <c r="C20" s="355">
        <v>394600</v>
      </c>
      <c r="D20" s="55">
        <v>3.5</v>
      </c>
      <c r="E20" s="223">
        <f>IF('EDAB|0325-33'!OrigApprop=0,0,(E18/H18)*'EDAB|0325-33'!OrigApprop)</f>
        <v>280077.07801141101</v>
      </c>
      <c r="F20" s="223">
        <f>IF('EDAB|0325-33'!OrigApprop=0,0,(F18/H18)*'EDAB|0325-33'!OrigApprop)</f>
        <v>56763.401886680324</v>
      </c>
      <c r="G20" s="223">
        <f>IF(E20=0,0,(G18/H18)*'EDAB|0325-33'!OrigApprop)</f>
        <v>57759.520101908631</v>
      </c>
      <c r="H20" s="223">
        <f>SUM(E20:G20)</f>
        <v>394600</v>
      </c>
      <c r="I20" s="268"/>
      <c r="J20" s="224"/>
      <c r="K20" s="224"/>
      <c r="L20" s="224"/>
    </row>
    <row r="21" spans="1:12" x14ac:dyDescent="0.25">
      <c r="A21" s="457" t="s">
        <v>32</v>
      </c>
      <c r="B21" s="458"/>
      <c r="C21" s="160" t="s">
        <v>33</v>
      </c>
      <c r="D21" s="161">
        <f>D20-D18</f>
        <v>0</v>
      </c>
      <c r="E21" s="162">
        <f>E20-E18</f>
        <v>45706.678011410986</v>
      </c>
      <c r="F21" s="162">
        <f>F20-F18</f>
        <v>9263.4018866803235</v>
      </c>
      <c r="G21" s="162">
        <f>G20-G18</f>
        <v>9425.9616179086224</v>
      </c>
      <c r="H21" s="162">
        <f>H20-H18</f>
        <v>64396.041515999939</v>
      </c>
      <c r="I21" s="269"/>
      <c r="J21" s="56" t="str">
        <f>IF('EDAB|0325-33'!OrigApprop=0,"No Original Appropriation amount in DU 3.00 for this fund","Calculated "&amp;IF('EDAB|0325-33'!AdjustedTotal&gt;0,"overfunding ","underfunding ")&amp;"is "&amp;TEXT('EDAB|0325-33'!AdjustedTotal/'EDAB|0325-33'!AppropTotal,"#.0%;(#.0% );0% ;")&amp;" of Original Appropriation")</f>
        <v>Calculated overfunding is 16.3% of Original Appropriation</v>
      </c>
      <c r="K21" s="163"/>
      <c r="L21" s="164"/>
    </row>
  </sheetData>
  <mergeCells count="14">
    <mergeCell ref="A7:B7"/>
    <mergeCell ref="A2:B2"/>
    <mergeCell ref="A3:B3"/>
    <mergeCell ref="A4:B4"/>
    <mergeCell ref="A5:B5"/>
    <mergeCell ref="A6:B6"/>
    <mergeCell ref="A18:B18"/>
    <mergeCell ref="A21:B21"/>
    <mergeCell ref="A10:B10"/>
    <mergeCell ref="A13:B13"/>
    <mergeCell ref="A14:B14"/>
    <mergeCell ref="A15:B15"/>
    <mergeCell ref="A16:B16"/>
    <mergeCell ref="A17:B17"/>
  </mergeCells>
  <conditionalFormatting sqref="J10">
    <cfRule type="expression" dxfId="1" priority="2">
      <formula>$J$16&lt;0</formula>
    </cfRule>
  </conditionalFormatting>
  <conditionalFormatting sqref="J21">
    <cfRule type="expression" dxfId="0" priority="1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State Board of Education&amp;R&amp;"Arial"&amp;10 Agency 525</oddHeader>
    <oddFooter>&amp;L&amp;"Arial"&amp;10 B6:Summary by Program, by Fund&amp;R&amp;"Arial"&amp;10 FY 2023 Request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23"/>
  <sheetViews>
    <sheetView workbookViewId="0">
      <selection activeCell="E8" sqref="E8:M23"/>
    </sheetView>
  </sheetViews>
  <sheetFormatPr defaultRowHeight="15" x14ac:dyDescent="0.25"/>
  <cols>
    <col min="1" max="1" width="2.7109375" customWidth="1"/>
    <col min="2" max="2" width="10.140625" bestFit="1" customWidth="1"/>
    <col min="3" max="3" width="7.7109375" bestFit="1" customWidth="1"/>
    <col min="4" max="4" width="5.7109375" customWidth="1"/>
    <col min="5" max="5" width="6" bestFit="1" customWidth="1"/>
    <col min="6" max="6" width="11.85546875" bestFit="1" customWidth="1"/>
    <col min="7" max="7" width="14.5703125" bestFit="1" customWidth="1"/>
    <col min="8" max="8" width="11.85546875" bestFit="1" customWidth="1"/>
    <col min="9" max="9" width="16" bestFit="1" customWidth="1"/>
    <col min="10" max="10" width="17.7109375" bestFit="1" customWidth="1"/>
    <col min="11" max="11" width="11.85546875" bestFit="1" customWidth="1"/>
    <col min="12" max="12" width="16" bestFit="1" customWidth="1"/>
    <col min="13" max="13" width="17.7109375" bestFit="1" customWidth="1"/>
  </cols>
  <sheetData>
    <row r="2" spans="1:13" ht="21" x14ac:dyDescent="0.35">
      <c r="A2" s="251" t="s">
        <v>95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81</v>
      </c>
      <c r="F5" s="478" t="s">
        <v>290</v>
      </c>
      <c r="G5" s="478"/>
      <c r="H5" s="479" t="s">
        <v>288</v>
      </c>
      <c r="I5" s="478" t="s">
        <v>291</v>
      </c>
      <c r="J5" s="478"/>
      <c r="K5" s="479" t="s">
        <v>289</v>
      </c>
      <c r="L5" s="478" t="s">
        <v>292</v>
      </c>
      <c r="M5" s="478"/>
    </row>
    <row r="6" spans="1:13" ht="15.75" x14ac:dyDescent="0.25">
      <c r="E6" s="249"/>
      <c r="F6" s="253" t="s">
        <v>92</v>
      </c>
      <c r="G6" s="254" t="s">
        <v>94</v>
      </c>
      <c r="H6" s="480"/>
      <c r="I6" s="253" t="s">
        <v>96</v>
      </c>
      <c r="J6" s="254" t="s">
        <v>93</v>
      </c>
      <c r="K6" s="480"/>
      <c r="L6" s="278" t="s">
        <v>96</v>
      </c>
      <c r="M6" s="254" t="s">
        <v>93</v>
      </c>
    </row>
    <row r="7" spans="1:13" x14ac:dyDescent="0.25">
      <c r="A7" s="393" t="s">
        <v>293</v>
      </c>
      <c r="D7" s="250"/>
    </row>
    <row r="8" spans="1:13" x14ac:dyDescent="0.25">
      <c r="C8" t="s">
        <v>278</v>
      </c>
      <c r="D8" s="250"/>
      <c r="E8" s="403">
        <f>Data!AS27</f>
        <v>1</v>
      </c>
      <c r="F8" s="403">
        <f>Data!AT27</f>
        <v>94305.23000000001</v>
      </c>
      <c r="G8" s="403">
        <f>Data!AU27</f>
        <v>31566.900000000005</v>
      </c>
      <c r="H8" s="403">
        <f>Data!AV27</f>
        <v>115564.8</v>
      </c>
      <c r="I8" s="403">
        <f>Data!AW27</f>
        <v>12500</v>
      </c>
      <c r="J8" s="403">
        <f>Data!AX27</f>
        <v>23807.504448</v>
      </c>
      <c r="K8" s="403">
        <f>Data!AY27</f>
        <v>115564.8</v>
      </c>
      <c r="L8" s="403">
        <f>Data!AZ27</f>
        <v>13750</v>
      </c>
      <c r="M8" s="403">
        <f>Data!BA27</f>
        <v>24061.747008000002</v>
      </c>
    </row>
    <row r="9" spans="1:13" x14ac:dyDescent="0.25">
      <c r="B9" t="s">
        <v>294</v>
      </c>
      <c r="D9" s="250"/>
      <c r="E9" s="404">
        <f>Data!AS28</f>
        <v>1</v>
      </c>
      <c r="F9" s="404">
        <f>Data!AT28</f>
        <v>94305.23000000001</v>
      </c>
      <c r="G9" s="404">
        <f>Data!AU28</f>
        <v>31566.900000000005</v>
      </c>
      <c r="H9" s="404">
        <f>Data!AV28</f>
        <v>115564.8</v>
      </c>
      <c r="I9" s="404">
        <f>Data!AW28</f>
        <v>12500</v>
      </c>
      <c r="J9" s="404">
        <f>Data!AX28</f>
        <v>23807.504448</v>
      </c>
      <c r="K9" s="404">
        <f>Data!AY28</f>
        <v>115564.8</v>
      </c>
      <c r="L9" s="404">
        <f>Data!AZ28</f>
        <v>13750</v>
      </c>
      <c r="M9" s="404">
        <f>Data!BA28</f>
        <v>24061.747008000002</v>
      </c>
    </row>
    <row r="10" spans="1:13" x14ac:dyDescent="0.25">
      <c r="C10" t="s">
        <v>284</v>
      </c>
      <c r="D10" s="250"/>
      <c r="E10" s="403">
        <f>Data!AS29</f>
        <v>3.5</v>
      </c>
      <c r="F10" s="403">
        <f>Data!AT29</f>
        <v>225311.88</v>
      </c>
      <c r="G10" s="403">
        <f>Data!AU29</f>
        <v>87266.82</v>
      </c>
      <c r="H10" s="403">
        <f>Data!AV29</f>
        <v>232970.40000000002</v>
      </c>
      <c r="I10" s="403">
        <f>Data!AW29</f>
        <v>47500</v>
      </c>
      <c r="J10" s="403">
        <f>Data!AX29</f>
        <v>48083.168484000009</v>
      </c>
      <c r="K10" s="403">
        <f>Data!AY29</f>
        <v>232970.40000000002</v>
      </c>
      <c r="L10" s="403">
        <f>Data!AZ29</f>
        <v>52250</v>
      </c>
      <c r="M10" s="403">
        <f>Data!BA29</f>
        <v>48595.703364000001</v>
      </c>
    </row>
    <row r="11" spans="1:13" x14ac:dyDescent="0.25">
      <c r="B11" t="s">
        <v>295</v>
      </c>
      <c r="D11" s="250"/>
      <c r="E11" s="404">
        <f>Data!AS30</f>
        <v>3.5</v>
      </c>
      <c r="F11" s="404">
        <f>Data!AT30</f>
        <v>225311.88</v>
      </c>
      <c r="G11" s="404">
        <f>Data!AU30</f>
        <v>87266.82</v>
      </c>
      <c r="H11" s="404">
        <f>Data!AV30</f>
        <v>232970.40000000002</v>
      </c>
      <c r="I11" s="404">
        <f>Data!AW30</f>
        <v>47500</v>
      </c>
      <c r="J11" s="404">
        <f>Data!AX30</f>
        <v>48083.168484000009</v>
      </c>
      <c r="K11" s="404">
        <f>Data!AY30</f>
        <v>232970.40000000002</v>
      </c>
      <c r="L11" s="404">
        <f>Data!AZ30</f>
        <v>52250</v>
      </c>
      <c r="M11" s="404">
        <f>Data!BA30</f>
        <v>48595.703364000001</v>
      </c>
    </row>
    <row r="12" spans="1:13" x14ac:dyDescent="0.25">
      <c r="D12" s="250"/>
      <c r="E12" s="403">
        <f>Data!AS31</f>
        <v>0</v>
      </c>
      <c r="F12" s="403">
        <f>Data!AT31</f>
        <v>0</v>
      </c>
      <c r="G12" s="403">
        <f>Data!AU31</f>
        <v>0</v>
      </c>
      <c r="H12" s="403">
        <f>Data!AV31</f>
        <v>0</v>
      </c>
      <c r="I12" s="403">
        <f>Data!AW31</f>
        <v>0</v>
      </c>
      <c r="J12" s="403">
        <f>Data!AX31</f>
        <v>0</v>
      </c>
      <c r="K12" s="403">
        <f>Data!AY31</f>
        <v>0</v>
      </c>
      <c r="L12" s="403">
        <f>Data!AZ31</f>
        <v>0</v>
      </c>
      <c r="M12" s="403">
        <f>Data!BA31</f>
        <v>0</v>
      </c>
    </row>
    <row r="13" spans="1:13" x14ac:dyDescent="0.25">
      <c r="A13" s="397" t="s">
        <v>296</v>
      </c>
      <c r="D13" s="250"/>
      <c r="E13" s="405">
        <f>Data!AS32</f>
        <v>4.5</v>
      </c>
      <c r="F13" s="405">
        <f>Data!AT32</f>
        <v>319617.11</v>
      </c>
      <c r="G13" s="405">
        <f>Data!AU32</f>
        <v>118833.72000000002</v>
      </c>
      <c r="H13" s="405">
        <f>Data!AV32</f>
        <v>348535.2</v>
      </c>
      <c r="I13" s="405">
        <f>Data!AW32</f>
        <v>60000</v>
      </c>
      <c r="J13" s="405">
        <f>Data!AX32</f>
        <v>71890.672932000016</v>
      </c>
      <c r="K13" s="405">
        <f>Data!AY32</f>
        <v>348535.2</v>
      </c>
      <c r="L13" s="405">
        <f>Data!AZ32</f>
        <v>66000</v>
      </c>
      <c r="M13" s="405">
        <f>Data!BA32</f>
        <v>72657.450372000007</v>
      </c>
    </row>
    <row r="14" spans="1:13" x14ac:dyDescent="0.25">
      <c r="E14" s="403">
        <f>Data!AS33</f>
        <v>0</v>
      </c>
      <c r="F14" s="403">
        <f>Data!AT33</f>
        <v>0</v>
      </c>
      <c r="G14" s="403">
        <f>Data!AU33</f>
        <v>0</v>
      </c>
      <c r="H14" s="403">
        <f>Data!AV33</f>
        <v>0</v>
      </c>
      <c r="I14" s="403">
        <f>Data!AW33</f>
        <v>0</v>
      </c>
      <c r="J14" s="403">
        <f>Data!AX33</f>
        <v>0</v>
      </c>
      <c r="K14" s="403">
        <f>Data!AY33</f>
        <v>0</v>
      </c>
      <c r="L14" s="403">
        <f>Data!AZ33</f>
        <v>0</v>
      </c>
      <c r="M14" s="403">
        <f>Data!BA33</f>
        <v>0</v>
      </c>
    </row>
    <row r="15" spans="1:13" x14ac:dyDescent="0.25">
      <c r="A15" s="393" t="s">
        <v>297</v>
      </c>
      <c r="E15" s="403">
        <f>Data!AS34</f>
        <v>0</v>
      </c>
      <c r="F15" s="403">
        <f>Data!AT34</f>
        <v>0</v>
      </c>
      <c r="G15" s="403">
        <f>Data!AU34</f>
        <v>0</v>
      </c>
      <c r="H15" s="403">
        <f>Data!AV34</f>
        <v>0</v>
      </c>
      <c r="I15" s="403">
        <f>Data!AW34</f>
        <v>0</v>
      </c>
      <c r="J15" s="403">
        <f>Data!AX34</f>
        <v>0</v>
      </c>
      <c r="K15" s="403">
        <f>Data!AY34</f>
        <v>0</v>
      </c>
      <c r="L15" s="403">
        <f>Data!AZ34</f>
        <v>0</v>
      </c>
      <c r="M15" s="403">
        <f>Data!BA34</f>
        <v>0</v>
      </c>
    </row>
    <row r="16" spans="1:13" x14ac:dyDescent="0.25">
      <c r="C16" t="s">
        <v>278</v>
      </c>
      <c r="E16" s="403">
        <f>Data!AS35</f>
        <v>0</v>
      </c>
      <c r="F16" s="403">
        <f>Data!AT35</f>
        <v>525</v>
      </c>
      <c r="G16" s="403">
        <f>Data!AU35</f>
        <v>102.87</v>
      </c>
      <c r="H16" s="403">
        <f>Data!AV35</f>
        <v>525</v>
      </c>
      <c r="I16" s="403">
        <f>Data!AW35</f>
        <v>0</v>
      </c>
      <c r="J16" s="403">
        <f>Data!AX35</f>
        <v>102.87</v>
      </c>
      <c r="K16" s="403">
        <f>Data!AY35</f>
        <v>525</v>
      </c>
      <c r="L16" s="403">
        <f>Data!AZ35</f>
        <v>0</v>
      </c>
      <c r="M16" s="403">
        <f>Data!BA35</f>
        <v>102.87</v>
      </c>
    </row>
    <row r="17" spans="1:13" x14ac:dyDescent="0.25">
      <c r="B17" t="s">
        <v>294</v>
      </c>
      <c r="E17" s="404">
        <f>Data!AS36</f>
        <v>0</v>
      </c>
      <c r="F17" s="404">
        <f>Data!AT36</f>
        <v>525</v>
      </c>
      <c r="G17" s="404">
        <f>Data!AU36</f>
        <v>102.87</v>
      </c>
      <c r="H17" s="404">
        <f>Data!AV36</f>
        <v>525</v>
      </c>
      <c r="I17" s="404">
        <f>Data!AW36</f>
        <v>0</v>
      </c>
      <c r="J17" s="404">
        <f>Data!AX36</f>
        <v>102.87</v>
      </c>
      <c r="K17" s="404">
        <f>Data!AY36</f>
        <v>525</v>
      </c>
      <c r="L17" s="404">
        <f>Data!AZ36</f>
        <v>0</v>
      </c>
      <c r="M17" s="404">
        <f>Data!BA36</f>
        <v>102.87</v>
      </c>
    </row>
    <row r="18" spans="1:13" x14ac:dyDescent="0.25">
      <c r="C18" t="s">
        <v>284</v>
      </c>
      <c r="E18" s="403">
        <f>Data!AS37</f>
        <v>0</v>
      </c>
      <c r="F18" s="403">
        <f>Data!AT37</f>
        <v>1400</v>
      </c>
      <c r="G18" s="403">
        <f>Data!AU37</f>
        <v>250.39</v>
      </c>
      <c r="H18" s="403">
        <f>Data!AV37</f>
        <v>1400</v>
      </c>
      <c r="I18" s="403">
        <f>Data!AW37</f>
        <v>0</v>
      </c>
      <c r="J18" s="403">
        <f>Data!AX37</f>
        <v>250.39</v>
      </c>
      <c r="K18" s="403">
        <f>Data!AY37</f>
        <v>1400</v>
      </c>
      <c r="L18" s="403">
        <f>Data!AZ37</f>
        <v>0</v>
      </c>
      <c r="M18" s="403">
        <f>Data!BA37</f>
        <v>250.39</v>
      </c>
    </row>
    <row r="19" spans="1:13" x14ac:dyDescent="0.25">
      <c r="B19" t="s">
        <v>295</v>
      </c>
      <c r="E19" s="404">
        <f>Data!AS38</f>
        <v>0</v>
      </c>
      <c r="F19" s="404">
        <f>Data!AT38</f>
        <v>1400</v>
      </c>
      <c r="G19" s="404">
        <f>Data!AU38</f>
        <v>250.39</v>
      </c>
      <c r="H19" s="404">
        <f>Data!AV38</f>
        <v>1400</v>
      </c>
      <c r="I19" s="404">
        <f>Data!AW38</f>
        <v>0</v>
      </c>
      <c r="J19" s="404">
        <f>Data!AX38</f>
        <v>250.39</v>
      </c>
      <c r="K19" s="404">
        <f>Data!AY38</f>
        <v>1400</v>
      </c>
      <c r="L19" s="404">
        <f>Data!AZ38</f>
        <v>0</v>
      </c>
      <c r="M19" s="404">
        <f>Data!BA38</f>
        <v>250.39</v>
      </c>
    </row>
    <row r="20" spans="1:13" x14ac:dyDescent="0.25">
      <c r="E20" s="403">
        <f>Data!AS39</f>
        <v>0</v>
      </c>
      <c r="F20" s="403">
        <f>Data!AT39</f>
        <v>0</v>
      </c>
      <c r="G20" s="403">
        <f>Data!AU39</f>
        <v>0</v>
      </c>
      <c r="H20" s="403">
        <f>Data!AV39</f>
        <v>0</v>
      </c>
      <c r="I20" s="403">
        <f>Data!AW39</f>
        <v>0</v>
      </c>
      <c r="J20" s="403">
        <f>Data!AX39</f>
        <v>0</v>
      </c>
      <c r="K20" s="403">
        <f>Data!AY39</f>
        <v>0</v>
      </c>
      <c r="L20" s="403">
        <f>Data!AZ39</f>
        <v>0</v>
      </c>
      <c r="M20" s="403">
        <f>Data!BA39</f>
        <v>0</v>
      </c>
    </row>
    <row r="21" spans="1:13" x14ac:dyDescent="0.25">
      <c r="A21" s="397" t="s">
        <v>298</v>
      </c>
      <c r="E21" s="405">
        <f>Data!AS40</f>
        <v>0</v>
      </c>
      <c r="F21" s="405">
        <f>Data!AT40</f>
        <v>1925</v>
      </c>
      <c r="G21" s="405">
        <f>Data!AU40</f>
        <v>353.26</v>
      </c>
      <c r="H21" s="405">
        <f>Data!AV40</f>
        <v>1925</v>
      </c>
      <c r="I21" s="405">
        <f>Data!AW40</f>
        <v>0</v>
      </c>
      <c r="J21" s="405">
        <f>Data!AX40</f>
        <v>353.26</v>
      </c>
      <c r="K21" s="405">
        <f>Data!AY40</f>
        <v>1925</v>
      </c>
      <c r="L21" s="405">
        <f>Data!AZ40</f>
        <v>0</v>
      </c>
      <c r="M21" s="405">
        <f>Data!BA40</f>
        <v>353.26</v>
      </c>
    </row>
    <row r="22" spans="1:13" x14ac:dyDescent="0.25">
      <c r="E22" s="403">
        <f>Data!AS41</f>
        <v>0</v>
      </c>
      <c r="F22" s="403">
        <f>Data!AT41</f>
        <v>0</v>
      </c>
      <c r="G22" s="403">
        <f>Data!AU41</f>
        <v>0</v>
      </c>
      <c r="H22" s="403">
        <f>Data!AV41</f>
        <v>0</v>
      </c>
      <c r="I22" s="403">
        <f>Data!AW41</f>
        <v>0</v>
      </c>
      <c r="J22" s="403">
        <f>Data!AX41</f>
        <v>0</v>
      </c>
      <c r="K22" s="403">
        <f>Data!AY41</f>
        <v>0</v>
      </c>
      <c r="L22" s="403">
        <f>Data!AZ41</f>
        <v>0</v>
      </c>
      <c r="M22" s="403">
        <f>Data!BA41</f>
        <v>0</v>
      </c>
    </row>
    <row r="23" spans="1:13" x14ac:dyDescent="0.25">
      <c r="A23" s="398" t="s">
        <v>299</v>
      </c>
      <c r="E23" s="401">
        <f>Data!AS42</f>
        <v>4.5</v>
      </c>
      <c r="F23" s="402">
        <f>Data!AT42</f>
        <v>321542.11</v>
      </c>
      <c r="G23" s="402">
        <f>Data!AU42</f>
        <v>119186.98000000001</v>
      </c>
      <c r="H23" s="402">
        <f>Data!AV42</f>
        <v>350460.2</v>
      </c>
      <c r="I23" s="402">
        <f>Data!AW42</f>
        <v>60000</v>
      </c>
      <c r="J23" s="402">
        <f>Data!AX42</f>
        <v>72243.932932000011</v>
      </c>
      <c r="K23" s="402">
        <f>Data!AY42</f>
        <v>350460.2</v>
      </c>
      <c r="L23" s="402">
        <f>Data!AZ42</f>
        <v>66000</v>
      </c>
      <c r="M23" s="402">
        <f>Data!BA42</f>
        <v>73010.710372000001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82" orientation="landscape" horizontalDpi="1200" verticalDpi="1200" r:id="rId1"/>
  <headerFooter>
    <oddHeader>&amp;L&amp;"Arial"&amp;14 State Board of Education&amp;R&amp;"Arial"&amp;10 Agency 525</oddHeader>
    <oddFooter>&amp;L&amp;"Arial"&amp;10 B6:Summary by Fund&amp;R&amp;"Arial"&amp;10 FY 2023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421</vt:i4>
      </vt:variant>
    </vt:vector>
  </HeadingPairs>
  <TitlesOfParts>
    <vt:vector size="428" baseType="lpstr">
      <vt:lpstr>EDAB|0001-00</vt:lpstr>
      <vt:lpstr>EDAB|0325-33</vt:lpstr>
      <vt:lpstr>Data</vt:lpstr>
      <vt:lpstr>Benefits</vt:lpstr>
      <vt:lpstr>B6</vt:lpstr>
      <vt:lpstr>Summary</vt:lpstr>
      <vt:lpstr>FundSummary</vt:lpstr>
      <vt:lpstr>'EDAB|0001-00'!AdjGroupHlth</vt:lpstr>
      <vt:lpstr>'EDAB|0325-33'!AdjGroupHlth</vt:lpstr>
      <vt:lpstr>AdjGroupHlth</vt:lpstr>
      <vt:lpstr>'EDAB|0001-00'!AdjGroupSalary</vt:lpstr>
      <vt:lpstr>'EDAB|0325-33'!AdjGroupSalary</vt:lpstr>
      <vt:lpstr>AdjGroupSalary</vt:lpstr>
      <vt:lpstr>'EDAB|0001-00'!AdjGroupVB</vt:lpstr>
      <vt:lpstr>'EDAB|0325-33'!AdjGroupVB</vt:lpstr>
      <vt:lpstr>AdjGroupVB</vt:lpstr>
      <vt:lpstr>'EDAB|0001-00'!AdjGroupVBBY</vt:lpstr>
      <vt:lpstr>'EDAB|0325-33'!AdjGroupVBBY</vt:lpstr>
      <vt:lpstr>AdjGroupVBBY</vt:lpstr>
      <vt:lpstr>'EDAB|0001-00'!AdjPermHlth</vt:lpstr>
      <vt:lpstr>'EDAB|0325-33'!AdjPermHlth</vt:lpstr>
      <vt:lpstr>AdjPermHlth</vt:lpstr>
      <vt:lpstr>'EDAB|0001-00'!AdjPermHlthBY</vt:lpstr>
      <vt:lpstr>'EDAB|0325-33'!AdjPermHlthBY</vt:lpstr>
      <vt:lpstr>AdjPermHlthBY</vt:lpstr>
      <vt:lpstr>'EDAB|0001-00'!AdjPermSalary</vt:lpstr>
      <vt:lpstr>'EDAB|0325-33'!AdjPermSalary</vt:lpstr>
      <vt:lpstr>AdjPermSalary</vt:lpstr>
      <vt:lpstr>'EDAB|0001-00'!AdjPermVB</vt:lpstr>
      <vt:lpstr>'EDAB|0325-33'!AdjPermVB</vt:lpstr>
      <vt:lpstr>AdjPermVB</vt:lpstr>
      <vt:lpstr>'EDAB|0001-00'!AdjPermVBBY</vt:lpstr>
      <vt:lpstr>'EDAB|0325-33'!AdjPermVBBY</vt:lpstr>
      <vt:lpstr>AdjPermVBBY</vt:lpstr>
      <vt:lpstr>'EDAB|0001-00'!AdjustedTotal</vt:lpstr>
      <vt:lpstr>'EDAB|0325-33'!AdjustedTotal</vt:lpstr>
      <vt:lpstr>AdjustedTotal</vt:lpstr>
      <vt:lpstr>'EDAB|0001-00'!AgencyNum</vt:lpstr>
      <vt:lpstr>'EDAB|0325-33'!AgencyNum</vt:lpstr>
      <vt:lpstr>AgencyNum</vt:lpstr>
      <vt:lpstr>'EDAB|0001-00'!AppropFTP</vt:lpstr>
      <vt:lpstr>'EDAB|0325-33'!AppropFTP</vt:lpstr>
      <vt:lpstr>AppropFTP</vt:lpstr>
      <vt:lpstr>'EDAB|0001-00'!AppropTotal</vt:lpstr>
      <vt:lpstr>'EDAB|0325-33'!AppropTotal</vt:lpstr>
      <vt:lpstr>AppropTotal</vt:lpstr>
      <vt:lpstr>'EDAB|0001-00'!AtZHealth</vt:lpstr>
      <vt:lpstr>'EDAB|0325-33'!AtZHealth</vt:lpstr>
      <vt:lpstr>AtZHealth</vt:lpstr>
      <vt:lpstr>'EDAB|0001-00'!AtZSalary</vt:lpstr>
      <vt:lpstr>'EDAB|0325-33'!AtZSalary</vt:lpstr>
      <vt:lpstr>AtZSalary</vt:lpstr>
      <vt:lpstr>'EDAB|0001-00'!AtZTotal</vt:lpstr>
      <vt:lpstr>'EDAB|0325-33'!AtZTotal</vt:lpstr>
      <vt:lpstr>AtZTotal</vt:lpstr>
      <vt:lpstr>'EDAB|0001-00'!AtZVarBen</vt:lpstr>
      <vt:lpstr>'EDAB|0325-33'!AtZVarBen</vt:lpstr>
      <vt:lpstr>AtZVarBen</vt:lpstr>
      <vt:lpstr>'EDAB|0001-00'!BudgetUnit</vt:lpstr>
      <vt:lpstr>'EDAB|0325-33'!BudgetUnit</vt:lpstr>
      <vt:lpstr>BudgetUnit</vt:lpstr>
      <vt:lpstr>BudgetYear</vt:lpstr>
      <vt:lpstr>CECGroup</vt:lpstr>
      <vt:lpstr>'EDAB|0001-00'!CECOrigElectSalary</vt:lpstr>
      <vt:lpstr>'EDAB|0325-33'!CECOrigElectSalary</vt:lpstr>
      <vt:lpstr>CECOrigElectSalary</vt:lpstr>
      <vt:lpstr>'EDAB|0001-00'!CECOrigElectVB</vt:lpstr>
      <vt:lpstr>'EDAB|0325-33'!CECOrigElectVB</vt:lpstr>
      <vt:lpstr>CECOrigElectVB</vt:lpstr>
      <vt:lpstr>'EDAB|0001-00'!CECOrigGroupSalary</vt:lpstr>
      <vt:lpstr>'EDAB|0325-33'!CECOrigGroupSalary</vt:lpstr>
      <vt:lpstr>CECOrigGroupSalary</vt:lpstr>
      <vt:lpstr>'EDAB|0001-00'!CECOrigGroupVB</vt:lpstr>
      <vt:lpstr>'EDAB|0325-33'!CECOrigGroupVB</vt:lpstr>
      <vt:lpstr>CECOrigGroupVB</vt:lpstr>
      <vt:lpstr>'EDAB|0001-00'!CECOrigPermSalary</vt:lpstr>
      <vt:lpstr>'EDAB|0325-33'!CECOrigPermSalary</vt:lpstr>
      <vt:lpstr>CECOrigPermSalary</vt:lpstr>
      <vt:lpstr>'EDAB|0001-00'!CECOrigPermVB</vt:lpstr>
      <vt:lpstr>'EDAB|0325-33'!CECOrigPermVB</vt:lpstr>
      <vt:lpstr>CECOrigPermVB</vt:lpstr>
      <vt:lpstr>CECPerm</vt:lpstr>
      <vt:lpstr>'EDAB|0001-00'!CECpermCalc</vt:lpstr>
      <vt:lpstr>'EDAB|0325-33'!CECpermCalc</vt:lpstr>
      <vt:lpstr>CECpermCalc</vt:lpstr>
      <vt:lpstr>'EDAB|0001-00'!Department</vt:lpstr>
      <vt:lpstr>'EDAB|0325-33'!Department</vt:lpstr>
      <vt:lpstr>Department</vt:lpstr>
      <vt:lpstr>DHR</vt:lpstr>
      <vt:lpstr>DHRBY</vt:lpstr>
      <vt:lpstr>DHRCHG</vt:lpstr>
      <vt:lpstr>'EDAB|0001-00'!Division</vt:lpstr>
      <vt:lpstr>'EDAB|0325-33'!Division</vt:lpstr>
      <vt:lpstr>Division</vt:lpstr>
      <vt:lpstr>'EDAB|0001-00'!DUCECElect</vt:lpstr>
      <vt:lpstr>'EDAB|0325-33'!DUCECElect</vt:lpstr>
      <vt:lpstr>DUCECElect</vt:lpstr>
      <vt:lpstr>'EDAB|0001-00'!DUCECGroup</vt:lpstr>
      <vt:lpstr>'EDAB|0325-33'!DUCECGroup</vt:lpstr>
      <vt:lpstr>DUCECGroup</vt:lpstr>
      <vt:lpstr>'EDAB|0001-00'!DUCECPerm</vt:lpstr>
      <vt:lpstr>'EDAB|0325-33'!DUCECPerm</vt:lpstr>
      <vt:lpstr>DUCECPerm</vt:lpstr>
      <vt:lpstr>'EDAB|0001-00'!DUEleven</vt:lpstr>
      <vt:lpstr>'EDAB|0325-33'!DUEleven</vt:lpstr>
      <vt:lpstr>DUEleven</vt:lpstr>
      <vt:lpstr>'EDAB|0001-00'!DUHealthBen</vt:lpstr>
      <vt:lpstr>'EDAB|0325-33'!DUHealthBen</vt:lpstr>
      <vt:lpstr>DUHealthBen</vt:lpstr>
      <vt:lpstr>'EDAB|0001-00'!DUNine</vt:lpstr>
      <vt:lpstr>'EDAB|0325-33'!DUNine</vt:lpstr>
      <vt:lpstr>DUNine</vt:lpstr>
      <vt:lpstr>'EDAB|0001-00'!DUThirteen</vt:lpstr>
      <vt:lpstr>'EDAB|0325-33'!DUThirteen</vt:lpstr>
      <vt:lpstr>DUThirteen</vt:lpstr>
      <vt:lpstr>'EDAB|0001-00'!DUVariableBen</vt:lpstr>
      <vt:lpstr>'EDAB|0325-33'!DUVariableBen</vt:lpstr>
      <vt:lpstr>DUVariableBen</vt:lpstr>
      <vt:lpstr>EDAB000100col_1_27TH_PP</vt:lpstr>
      <vt:lpstr>EDAB000100col_DHR</vt:lpstr>
      <vt:lpstr>EDAB000100col_DHR_BY</vt:lpstr>
      <vt:lpstr>EDAB000100col_DHR_CHG</vt:lpstr>
      <vt:lpstr>EDAB000100col_FTI_SALARY_ELECT</vt:lpstr>
      <vt:lpstr>EDAB000100col_FTI_SALARY_PERM</vt:lpstr>
      <vt:lpstr>EDAB000100col_FTI_SALARY_SSDI</vt:lpstr>
      <vt:lpstr>EDAB000100col_Group_Ben</vt:lpstr>
      <vt:lpstr>EDAB000100col_Group_Salary</vt:lpstr>
      <vt:lpstr>EDAB000100col_HEALTH_ELECT</vt:lpstr>
      <vt:lpstr>EDAB000100col_HEALTH_ELECT_BY</vt:lpstr>
      <vt:lpstr>EDAB000100col_HEALTH_ELECT_CHG</vt:lpstr>
      <vt:lpstr>EDAB000100col_HEALTH_PERM</vt:lpstr>
      <vt:lpstr>EDAB000100col_HEALTH_PERM_BY</vt:lpstr>
      <vt:lpstr>EDAB000100col_HEALTH_PERM_CHG</vt:lpstr>
      <vt:lpstr>EDAB000100col_INC_FTI</vt:lpstr>
      <vt:lpstr>EDAB000100col_LIFE_INS</vt:lpstr>
      <vt:lpstr>EDAB000100col_LIFE_INS_BY</vt:lpstr>
      <vt:lpstr>EDAB000100col_LIFE_INS_CHG</vt:lpstr>
      <vt:lpstr>EDAB000100col_RETIREMENT</vt:lpstr>
      <vt:lpstr>EDAB000100col_RETIREMENT_BY</vt:lpstr>
      <vt:lpstr>EDAB000100col_RETIREMENT_CHG</vt:lpstr>
      <vt:lpstr>EDAB000100col_ROWS_PER_PCN</vt:lpstr>
      <vt:lpstr>EDAB000100col_SICK</vt:lpstr>
      <vt:lpstr>EDAB000100col_SICK_BY</vt:lpstr>
      <vt:lpstr>EDAB000100col_SICK_CHG</vt:lpstr>
      <vt:lpstr>EDAB000100col_SSDI</vt:lpstr>
      <vt:lpstr>EDAB000100col_SSDI_BY</vt:lpstr>
      <vt:lpstr>EDAB000100col_SSDI_CHG</vt:lpstr>
      <vt:lpstr>EDAB000100col_SSHI</vt:lpstr>
      <vt:lpstr>EDAB000100col_SSHI_BY</vt:lpstr>
      <vt:lpstr>EDAB000100col_SSHI_CHGv</vt:lpstr>
      <vt:lpstr>EDAB000100col_TOT_VB_ELECT</vt:lpstr>
      <vt:lpstr>EDAB000100col_TOT_VB_ELECT_BY</vt:lpstr>
      <vt:lpstr>EDAB000100col_TOT_VB_ELECT_CHG</vt:lpstr>
      <vt:lpstr>EDAB000100col_TOT_VB_PERM</vt:lpstr>
      <vt:lpstr>EDAB000100col_TOT_VB_PERM_BY</vt:lpstr>
      <vt:lpstr>EDAB000100col_TOT_VB_PERM_CHG</vt:lpstr>
      <vt:lpstr>EDAB000100col_TOTAL_ELECT_PCN_FTI</vt:lpstr>
      <vt:lpstr>EDAB000100col_TOTAL_ELECT_PCN_FTI_ALT</vt:lpstr>
      <vt:lpstr>EDAB000100col_TOTAL_PERM_PCN_FTI</vt:lpstr>
      <vt:lpstr>EDAB000100col_UNEMP_INS</vt:lpstr>
      <vt:lpstr>EDAB000100col_UNEMP_INS_BY</vt:lpstr>
      <vt:lpstr>EDAB000100col_UNEMP_INS_CHG</vt:lpstr>
      <vt:lpstr>EDAB000100col_WORKERS_COMP</vt:lpstr>
      <vt:lpstr>EDAB000100col_WORKERS_COMP_BY</vt:lpstr>
      <vt:lpstr>EDAB000100col_WORKERS_COMP_CHG</vt:lpstr>
      <vt:lpstr>EDAB032533col_1_27TH_PP</vt:lpstr>
      <vt:lpstr>EDAB032533col_DHR</vt:lpstr>
      <vt:lpstr>EDAB032533col_DHR_BY</vt:lpstr>
      <vt:lpstr>EDAB032533col_DHR_CHG</vt:lpstr>
      <vt:lpstr>EDAB032533col_FTI_SALARY_ELECT</vt:lpstr>
      <vt:lpstr>EDAB032533col_FTI_SALARY_PERM</vt:lpstr>
      <vt:lpstr>EDAB032533col_FTI_SALARY_SSDI</vt:lpstr>
      <vt:lpstr>EDAB032533col_Group_Ben</vt:lpstr>
      <vt:lpstr>EDAB032533col_Group_Salary</vt:lpstr>
      <vt:lpstr>EDAB032533col_HEALTH_ELECT</vt:lpstr>
      <vt:lpstr>EDAB032533col_HEALTH_ELECT_BY</vt:lpstr>
      <vt:lpstr>EDAB032533col_HEALTH_ELECT_CHG</vt:lpstr>
      <vt:lpstr>EDAB032533col_HEALTH_PERM</vt:lpstr>
      <vt:lpstr>EDAB032533col_HEALTH_PERM_BY</vt:lpstr>
      <vt:lpstr>EDAB032533col_HEALTH_PERM_CHG</vt:lpstr>
      <vt:lpstr>EDAB032533col_INC_FTI</vt:lpstr>
      <vt:lpstr>EDAB032533col_LIFE_INS</vt:lpstr>
      <vt:lpstr>EDAB032533col_LIFE_INS_BY</vt:lpstr>
      <vt:lpstr>EDAB032533col_LIFE_INS_CHG</vt:lpstr>
      <vt:lpstr>EDAB032533col_RETIREMENT</vt:lpstr>
      <vt:lpstr>EDAB032533col_RETIREMENT_BY</vt:lpstr>
      <vt:lpstr>EDAB032533col_RETIREMENT_CHG</vt:lpstr>
      <vt:lpstr>EDAB032533col_ROWS_PER_PCN</vt:lpstr>
      <vt:lpstr>EDAB032533col_SICK</vt:lpstr>
      <vt:lpstr>EDAB032533col_SICK_BY</vt:lpstr>
      <vt:lpstr>EDAB032533col_SICK_CHG</vt:lpstr>
      <vt:lpstr>EDAB032533col_SSDI</vt:lpstr>
      <vt:lpstr>EDAB032533col_SSDI_BY</vt:lpstr>
      <vt:lpstr>EDAB032533col_SSDI_CHG</vt:lpstr>
      <vt:lpstr>EDAB032533col_SSHI</vt:lpstr>
      <vt:lpstr>EDAB032533col_SSHI_BY</vt:lpstr>
      <vt:lpstr>EDAB032533col_SSHI_CHGv</vt:lpstr>
      <vt:lpstr>EDAB032533col_TOT_VB_ELECT</vt:lpstr>
      <vt:lpstr>EDAB032533col_TOT_VB_ELECT_BY</vt:lpstr>
      <vt:lpstr>EDAB032533col_TOT_VB_ELECT_CHG</vt:lpstr>
      <vt:lpstr>EDAB032533col_TOT_VB_PERM</vt:lpstr>
      <vt:lpstr>EDAB032533col_TOT_VB_PERM_BY</vt:lpstr>
      <vt:lpstr>EDAB032533col_TOT_VB_PERM_CHG</vt:lpstr>
      <vt:lpstr>EDAB032533col_TOTAL_ELECT_PCN_FTI</vt:lpstr>
      <vt:lpstr>EDAB032533col_TOTAL_ELECT_PCN_FTI_ALT</vt:lpstr>
      <vt:lpstr>EDAB032533col_TOTAL_PERM_PCN_FTI</vt:lpstr>
      <vt:lpstr>EDAB032533col_UNEMP_INS</vt:lpstr>
      <vt:lpstr>EDAB032533col_UNEMP_INS_BY</vt:lpstr>
      <vt:lpstr>EDAB032533col_UNEMP_INS_CHG</vt:lpstr>
      <vt:lpstr>EDAB032533col_WORKERS_COMP</vt:lpstr>
      <vt:lpstr>EDAB032533col_WORKERS_COMP_BY</vt:lpstr>
      <vt:lpstr>EDAB032533col_WORKERS_COMP_CHG</vt:lpstr>
      <vt:lpstr>'EDAB|0001-00'!Elect_chg_health</vt:lpstr>
      <vt:lpstr>'EDAB|0325-33'!Elect_chg_health</vt:lpstr>
      <vt:lpstr>Elect_chg_health</vt:lpstr>
      <vt:lpstr>'EDAB|0001-00'!Elect_chg_Var</vt:lpstr>
      <vt:lpstr>'EDAB|0325-33'!Elect_chg_Var</vt:lpstr>
      <vt:lpstr>Elect_chg_Var</vt:lpstr>
      <vt:lpstr>'EDAB|0001-00'!elect_FTP</vt:lpstr>
      <vt:lpstr>'EDAB|0325-33'!elect_FTP</vt:lpstr>
      <vt:lpstr>elect_FTP</vt:lpstr>
      <vt:lpstr>'EDAB|0001-00'!Elect_health</vt:lpstr>
      <vt:lpstr>'EDAB|0325-33'!Elect_health</vt:lpstr>
      <vt:lpstr>Elect_health</vt:lpstr>
      <vt:lpstr>'EDAB|0001-00'!Elect_name</vt:lpstr>
      <vt:lpstr>'EDAB|0325-33'!Elect_name</vt:lpstr>
      <vt:lpstr>Elect_name</vt:lpstr>
      <vt:lpstr>'EDAB|0001-00'!Elect_salary</vt:lpstr>
      <vt:lpstr>'EDAB|0325-33'!Elect_salary</vt:lpstr>
      <vt:lpstr>Elect_salary</vt:lpstr>
      <vt:lpstr>'EDAB|0001-00'!Elect_Var</vt:lpstr>
      <vt:lpstr>'EDAB|0325-33'!Elect_Var</vt:lpstr>
      <vt:lpstr>Elect_Var</vt:lpstr>
      <vt:lpstr>'EDAB|0001-00'!Elect_VarBen</vt:lpstr>
      <vt:lpstr>'EDAB|0325-33'!Elect_VarBen</vt:lpstr>
      <vt:lpstr>Elect_VarBen</vt:lpstr>
      <vt:lpstr>ElectVB</vt:lpstr>
      <vt:lpstr>ElectVBBY</vt:lpstr>
      <vt:lpstr>ElectVBCHG</vt:lpstr>
      <vt:lpstr>FillRate_Avg</vt:lpstr>
      <vt:lpstr>'EDAB|0001-00'!FiscalYear</vt:lpstr>
      <vt:lpstr>'EDAB|0325-33'!FiscalYear</vt:lpstr>
      <vt:lpstr>FiscalYear</vt:lpstr>
      <vt:lpstr>'EDAB|0001-00'!FundName</vt:lpstr>
      <vt:lpstr>'EDAB|0325-33'!FundName</vt:lpstr>
      <vt:lpstr>FundName</vt:lpstr>
      <vt:lpstr>'EDAB|0001-00'!FundNum</vt:lpstr>
      <vt:lpstr>'EDAB|0325-33'!FundNum</vt:lpstr>
      <vt:lpstr>FundNum</vt:lpstr>
      <vt:lpstr>'EDAB|0001-00'!FundNumber</vt:lpstr>
      <vt:lpstr>'EDAB|0325-33'!FundNumber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'EDAB|0001-00'!Group_name</vt:lpstr>
      <vt:lpstr>'EDAB|0325-33'!Group_name</vt:lpstr>
      <vt:lpstr>Group_name</vt:lpstr>
      <vt:lpstr>'EDAB|0001-00'!GroupFxdBen</vt:lpstr>
      <vt:lpstr>'EDAB|0325-33'!GroupFxdBen</vt:lpstr>
      <vt:lpstr>GroupFxdBen</vt:lpstr>
      <vt:lpstr>'EDAB|0001-00'!GroupSalary</vt:lpstr>
      <vt:lpstr>'EDAB|0325-33'!GroupSalary</vt:lpstr>
      <vt:lpstr>GroupSalary</vt:lpstr>
      <vt:lpstr>'EDAB|0001-00'!GroupVarBen</vt:lpstr>
      <vt:lpstr>'EDAB|0325-33'!GroupVarBen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Life</vt:lpstr>
      <vt:lpstr>LifeBY</vt:lpstr>
      <vt:lpstr>LifeCHG</vt:lpstr>
      <vt:lpstr>'EDAB|0001-00'!LUMAFund</vt:lpstr>
      <vt:lpstr>'EDAB|0325-33'!LUMAFund</vt:lpstr>
      <vt:lpstr>LUMAFund</vt:lpstr>
      <vt:lpstr>MAXSSDI</vt:lpstr>
      <vt:lpstr>MAXSSDIBY</vt:lpstr>
      <vt:lpstr>'EDAB|0001-00'!NEW_AdjGroup</vt:lpstr>
      <vt:lpstr>'EDAB|0325-33'!NEW_AdjGroup</vt:lpstr>
      <vt:lpstr>NEW_AdjGroup</vt:lpstr>
      <vt:lpstr>'EDAB|0001-00'!NEW_AdjGroupSalary</vt:lpstr>
      <vt:lpstr>'EDAB|0325-33'!NEW_AdjGroupSalary</vt:lpstr>
      <vt:lpstr>NEW_AdjGroupSalary</vt:lpstr>
      <vt:lpstr>'EDAB|0001-00'!NEW_AdjGroupVB</vt:lpstr>
      <vt:lpstr>'EDAB|0325-33'!NEW_AdjGroupVB</vt:lpstr>
      <vt:lpstr>NEW_AdjGroupVB</vt:lpstr>
      <vt:lpstr>'EDAB|0001-00'!NEW_AdjONLYGroup</vt:lpstr>
      <vt:lpstr>'EDAB|0325-33'!NEW_AdjONLYGroup</vt:lpstr>
      <vt:lpstr>NEW_AdjONLYGroup</vt:lpstr>
      <vt:lpstr>'EDAB|0001-00'!NEW_AdjONLYGroupSalary</vt:lpstr>
      <vt:lpstr>'EDAB|0325-33'!NEW_AdjONLYGroupSalary</vt:lpstr>
      <vt:lpstr>NEW_AdjONLYGroupSalary</vt:lpstr>
      <vt:lpstr>'EDAB|0001-00'!NEW_AdjONLYGroupVB</vt:lpstr>
      <vt:lpstr>'EDAB|0325-33'!NEW_AdjONLYGroupVB</vt:lpstr>
      <vt:lpstr>NEW_AdjONLYGroupVB</vt:lpstr>
      <vt:lpstr>'EDAB|0001-00'!NEW_AdjONLYPerm</vt:lpstr>
      <vt:lpstr>'EDAB|0325-33'!NEW_AdjONLYPerm</vt:lpstr>
      <vt:lpstr>NEW_AdjONLYPerm</vt:lpstr>
      <vt:lpstr>'EDAB|0001-00'!NEW_AdjONLYPermSalary</vt:lpstr>
      <vt:lpstr>'EDAB|0325-33'!NEW_AdjONLYPermSalary</vt:lpstr>
      <vt:lpstr>NEW_AdjONLYPermSalary</vt:lpstr>
      <vt:lpstr>'EDAB|0001-00'!NEW_AdjONLYPermVB</vt:lpstr>
      <vt:lpstr>'EDAB|0325-33'!NEW_AdjONLYPermVB</vt:lpstr>
      <vt:lpstr>NEW_AdjONLYPermVB</vt:lpstr>
      <vt:lpstr>'EDAB|0001-00'!NEW_AdjPerm</vt:lpstr>
      <vt:lpstr>'EDAB|0325-33'!NEW_AdjPerm</vt:lpstr>
      <vt:lpstr>NEW_AdjPerm</vt:lpstr>
      <vt:lpstr>'EDAB|0001-00'!NEW_AdjPermSalary</vt:lpstr>
      <vt:lpstr>'EDAB|0325-33'!NEW_AdjPermSalary</vt:lpstr>
      <vt:lpstr>NEW_AdjPermSalary</vt:lpstr>
      <vt:lpstr>'EDAB|0001-00'!NEW_AdjPermVB</vt:lpstr>
      <vt:lpstr>'EDAB|0325-33'!NEW_AdjPermVB</vt:lpstr>
      <vt:lpstr>NEW_AdjPermVB</vt:lpstr>
      <vt:lpstr>'EDAB|0001-00'!NEW_GroupFilled</vt:lpstr>
      <vt:lpstr>'EDAB|0325-33'!NEW_GroupFilled</vt:lpstr>
      <vt:lpstr>NEW_GroupFilled</vt:lpstr>
      <vt:lpstr>'EDAB|0001-00'!NEW_GroupSalaryFilled</vt:lpstr>
      <vt:lpstr>'EDAB|0325-33'!NEW_GroupSalaryFilled</vt:lpstr>
      <vt:lpstr>NEW_GroupSalaryFilled</vt:lpstr>
      <vt:lpstr>'EDAB|0001-00'!NEW_GroupVBFilled</vt:lpstr>
      <vt:lpstr>'EDAB|0325-33'!NEW_GroupVBFilled</vt:lpstr>
      <vt:lpstr>NEW_GroupVBFilled</vt:lpstr>
      <vt:lpstr>'EDAB|0001-00'!NEW_PermFilled</vt:lpstr>
      <vt:lpstr>'EDAB|0325-33'!NEW_PermFilled</vt:lpstr>
      <vt:lpstr>NEW_PermFilled</vt:lpstr>
      <vt:lpstr>'EDAB|0001-00'!NEW_PermSalaryFilled</vt:lpstr>
      <vt:lpstr>'EDAB|0325-33'!NEW_PermSalaryFilled</vt:lpstr>
      <vt:lpstr>NEW_PermSalaryFilled</vt:lpstr>
      <vt:lpstr>'EDAB|0001-00'!NEW_PermVBFilled</vt:lpstr>
      <vt:lpstr>'EDAB|0325-33'!NEW_PermVBFilled</vt:lpstr>
      <vt:lpstr>NEW_PermVBFilled</vt:lpstr>
      <vt:lpstr>'EDAB|0001-00'!OneTimePC_Total</vt:lpstr>
      <vt:lpstr>'EDAB|0325-33'!OneTimePC_Total</vt:lpstr>
      <vt:lpstr>OneTimePC_Total</vt:lpstr>
      <vt:lpstr>'EDAB|0001-00'!OrigApprop</vt:lpstr>
      <vt:lpstr>'EDAB|0325-33'!OrigApprop</vt:lpstr>
      <vt:lpstr>OrigApprop</vt:lpstr>
      <vt:lpstr>'EDAB|0001-00'!perm_name</vt:lpstr>
      <vt:lpstr>'EDAB|0325-33'!perm_name</vt:lpstr>
      <vt:lpstr>perm_name</vt:lpstr>
      <vt:lpstr>'EDAB|0001-00'!PermFTP</vt:lpstr>
      <vt:lpstr>'EDAB|0325-33'!PermFTP</vt:lpstr>
      <vt:lpstr>PermFTP</vt:lpstr>
      <vt:lpstr>'EDAB|0001-00'!PermFxdBen</vt:lpstr>
      <vt:lpstr>'EDAB|0325-33'!PermFxdBen</vt:lpstr>
      <vt:lpstr>PermFxdBen</vt:lpstr>
      <vt:lpstr>'EDAB|0001-00'!PermFxdBenChg</vt:lpstr>
      <vt:lpstr>'EDAB|0325-33'!PermFxdBenChg</vt:lpstr>
      <vt:lpstr>PermFxdBenChg</vt:lpstr>
      <vt:lpstr>'EDAB|0001-00'!PermFxdChg</vt:lpstr>
      <vt:lpstr>'EDAB|0325-33'!PermFxdChg</vt:lpstr>
      <vt:lpstr>PermFxdChg</vt:lpstr>
      <vt:lpstr>'EDAB|0001-00'!PermSalary</vt:lpstr>
      <vt:lpstr>'EDAB|0325-33'!PermSalary</vt:lpstr>
      <vt:lpstr>PermSalary</vt:lpstr>
      <vt:lpstr>'EDAB|0001-00'!PermVarBen</vt:lpstr>
      <vt:lpstr>'EDAB|0325-33'!PermVarBen</vt:lpstr>
      <vt:lpstr>PermVarBen</vt:lpstr>
      <vt:lpstr>'EDAB|0001-00'!PermVarBenChg</vt:lpstr>
      <vt:lpstr>'EDAB|0325-33'!PermVarBenChg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'EDAB|0001-00'!Print_Area</vt:lpstr>
      <vt:lpstr>'EDAB|0325-33'!Print_Area</vt:lpstr>
      <vt:lpstr>'EDAB|0001-00'!Prog_Unadjusted_Total</vt:lpstr>
      <vt:lpstr>'EDAB|0325-33'!Prog_Unadjusted_Total</vt:lpstr>
      <vt:lpstr>Prog_Unadjusted_Total</vt:lpstr>
      <vt:lpstr>'EDAB|0001-00'!Program</vt:lpstr>
      <vt:lpstr>'EDAB|0325-33'!Program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'EDAB|0001-00'!RoundedAppropSalary</vt:lpstr>
      <vt:lpstr>'EDAB|0325-33'!RoundedAppropSalary</vt:lpstr>
      <vt:lpstr>RoundedAppropSalary</vt:lpstr>
      <vt:lpstr>'EDAB|0001-00'!SalaryChg</vt:lpstr>
      <vt:lpstr>'EDAB|0325-33'!SalaryChg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900 B6</dc:title>
  <dc:subject>B6</dc:subject>
  <dc:creator>Shane Winslow</dc:creator>
  <cp:lastModifiedBy>Jared Tatro</cp:lastModifiedBy>
  <cp:lastPrinted>2019-06-21T15:46:35Z</cp:lastPrinted>
  <dcterms:created xsi:type="dcterms:W3CDTF">2013-05-01T19:55:41Z</dcterms:created>
  <dcterms:modified xsi:type="dcterms:W3CDTF">2022-07-25T17:11:25Z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