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4\"/>
    </mc:Choice>
  </mc:AlternateContent>
  <xr:revisionPtr revIDLastSave="0" documentId="13_ncr:1_{4EA6C775-67AE-474E-ADB3-6690482C69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CAB|0229-20" sheetId="12" r:id="rId1"/>
    <sheet name="PCAB|0348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'PCAB|0229-20'!$H$39</definedName>
    <definedName name="AdjGroupHlth" localSheetId="1">'PCAB|0348-00'!$H$39</definedName>
    <definedName name="AdjGroupHlth">'B6'!$H$39</definedName>
    <definedName name="AdjGroupSalary" localSheetId="0">'PCAB|0229-20'!$G$39</definedName>
    <definedName name="AdjGroupSalary" localSheetId="1">'PCAB|0348-00'!$G$39</definedName>
    <definedName name="AdjGroupSalary">'B6'!$G$39</definedName>
    <definedName name="AdjGroupVB" localSheetId="0">'PCAB|0229-20'!$I$39</definedName>
    <definedName name="AdjGroupVB" localSheetId="1">'PCAB|0348-00'!$I$39</definedName>
    <definedName name="AdjGroupVB">'B6'!$I$39</definedName>
    <definedName name="AdjGroupVBBY" localSheetId="0">'PCAB|0229-20'!$M$39</definedName>
    <definedName name="AdjGroupVBBY" localSheetId="1">'PCAB|0348-00'!$M$39</definedName>
    <definedName name="AdjGroupVBBY">'B6'!$M$39</definedName>
    <definedName name="AdjPermHlth" localSheetId="0">'PCAB|0229-20'!$H$38</definedName>
    <definedName name="AdjPermHlth" localSheetId="1">'PCAB|0348-00'!$H$38</definedName>
    <definedName name="AdjPermHlth">'B6'!$H$38</definedName>
    <definedName name="AdjPermHlthBY" localSheetId="0">'PCAB|0229-20'!$L$38</definedName>
    <definedName name="AdjPermHlthBY" localSheetId="1">'PCAB|0348-00'!$L$38</definedName>
    <definedName name="AdjPermHlthBY">'B6'!$L$38</definedName>
    <definedName name="AdjPermSalary" localSheetId="0">'PCAB|0229-20'!$G$38</definedName>
    <definedName name="AdjPermSalary" localSheetId="1">'PCAB|0348-00'!$G$38</definedName>
    <definedName name="AdjPermSalary">'B6'!$G$38</definedName>
    <definedName name="AdjPermVB" localSheetId="0">'PCAB|0229-20'!$I$38</definedName>
    <definedName name="AdjPermVB" localSheetId="1">'PCAB|0348-00'!$I$38</definedName>
    <definedName name="AdjPermVB">'B6'!$I$38</definedName>
    <definedName name="AdjPermVBBY" localSheetId="0">'PCAB|0229-20'!$M$38</definedName>
    <definedName name="AdjPermVBBY" localSheetId="1">'PCAB|0348-00'!$M$38</definedName>
    <definedName name="AdjPermVBBY">'B6'!$M$38</definedName>
    <definedName name="AdjustedTotal" localSheetId="0">'PCAB|0229-20'!$J$16</definedName>
    <definedName name="AdjustedTotal" localSheetId="1">'PCAB|0348-00'!$J$16</definedName>
    <definedName name="AdjustedTotal">'B6'!$J$16</definedName>
    <definedName name="AgencyNum" localSheetId="0">'PCAB|0229-20'!$M$1</definedName>
    <definedName name="AgencyNum" localSheetId="1">'PCAB|0348-00'!$M$1</definedName>
    <definedName name="AgencyNum">'B6'!$M$1</definedName>
    <definedName name="AppropFTP" localSheetId="0">'PCAB|0229-20'!$F$15</definedName>
    <definedName name="AppropFTP" localSheetId="1">'PCAB|0348-00'!$F$15</definedName>
    <definedName name="AppropFTP">'B6'!$F$15</definedName>
    <definedName name="AppropTotal" localSheetId="0">'PCAB|0229-20'!$J$15</definedName>
    <definedName name="AppropTotal" localSheetId="1">'PCAB|0348-00'!$J$15</definedName>
    <definedName name="AppropTotal">'B6'!$J$15</definedName>
    <definedName name="AtZHealth" localSheetId="0">'PCAB|0229-20'!$H$45</definedName>
    <definedName name="AtZHealth" localSheetId="1">'PCAB|0348-00'!$H$45</definedName>
    <definedName name="AtZHealth">'B6'!$H$45</definedName>
    <definedName name="AtZSalary" localSheetId="0">'PCAB|0229-20'!$G$45</definedName>
    <definedName name="AtZSalary" localSheetId="1">'PCAB|0348-00'!$G$45</definedName>
    <definedName name="AtZSalary">'B6'!$G$45</definedName>
    <definedName name="AtZTotal" localSheetId="0">'PCAB|0229-20'!$J$45</definedName>
    <definedName name="AtZTotal" localSheetId="1">'PCAB|0348-00'!$J$45</definedName>
    <definedName name="AtZTotal">'B6'!$J$45</definedName>
    <definedName name="AtZVarBen" localSheetId="0">'PCAB|0229-20'!$I$45</definedName>
    <definedName name="AtZVarBen" localSheetId="1">'PCAB|0348-00'!$I$45</definedName>
    <definedName name="AtZVarBen">'B6'!$I$45</definedName>
    <definedName name="BudgetUnit" localSheetId="0">'PCAB|0229-20'!$M$3</definedName>
    <definedName name="BudgetUnit" localSheetId="1">'PCAB|0348-00'!$M$3</definedName>
    <definedName name="BudgetUnit">'B6'!$M$3</definedName>
    <definedName name="BudgetYear">Benefits!$D$4</definedName>
    <definedName name="CECGroup">Benefits!$C$39</definedName>
    <definedName name="CECOrigElectSalary" localSheetId="0">'PCAB|0229-20'!$G$74</definedName>
    <definedName name="CECOrigElectSalary" localSheetId="1">'PCAB|0348-00'!$G$74</definedName>
    <definedName name="CECOrigElectSalary">'B6'!$G$74</definedName>
    <definedName name="CECOrigElectVB" localSheetId="0">'PCAB|0229-20'!$I$74</definedName>
    <definedName name="CECOrigElectVB" localSheetId="1">'PCAB|0348-00'!$I$74</definedName>
    <definedName name="CECOrigElectVB">'B6'!$I$74</definedName>
    <definedName name="CECOrigGroupSalary" localSheetId="0">'PCAB|0229-20'!$G$73</definedName>
    <definedName name="CECOrigGroupSalary" localSheetId="1">'PCAB|0348-00'!$G$73</definedName>
    <definedName name="CECOrigGroupSalary">'B6'!$G$73</definedName>
    <definedName name="CECOrigGroupVB" localSheetId="0">'PCAB|0229-20'!$I$73</definedName>
    <definedName name="CECOrigGroupVB" localSheetId="1">'PCAB|0348-00'!$I$73</definedName>
    <definedName name="CECOrigGroupVB">'B6'!$I$73</definedName>
    <definedName name="CECOrigPermSalary" localSheetId="0">'PCAB|0229-20'!$G$72</definedName>
    <definedName name="CECOrigPermSalary" localSheetId="1">'PCAB|0348-00'!$G$72</definedName>
    <definedName name="CECOrigPermSalary">'B6'!$G$72</definedName>
    <definedName name="CECOrigPermVB" localSheetId="0">'PCAB|0229-20'!$I$72</definedName>
    <definedName name="CECOrigPermVB" localSheetId="1">'PCAB|0348-00'!$I$72</definedName>
    <definedName name="CECOrigPermVB">'B6'!$I$72</definedName>
    <definedName name="CECPerm">Benefits!$C$38</definedName>
    <definedName name="CECpermCalc" localSheetId="0">'PCAB|0229-20'!$E$72</definedName>
    <definedName name="CECpermCalc" localSheetId="1">'PCAB|0348-00'!$E$72</definedName>
    <definedName name="CECpermCalc">'B6'!$E$72</definedName>
    <definedName name="Department" localSheetId="0">'PCAB|0229-20'!$D$1</definedName>
    <definedName name="Department" localSheetId="1">'PCAB|0348-00'!$D$1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'PCAB|0229-20'!$D$2</definedName>
    <definedName name="Division" localSheetId="1">'PCAB|0348-00'!$D$2</definedName>
    <definedName name="Division">'B6'!$D$2</definedName>
    <definedName name="DUCECElect" localSheetId="0">'PCAB|0229-20'!$J$74</definedName>
    <definedName name="DUCECElect" localSheetId="1">'PCAB|0348-00'!$J$74</definedName>
    <definedName name="DUCECElect">'B6'!$J$74</definedName>
    <definedName name="DUCECGroup" localSheetId="0">'PCAB|0229-20'!$J$73</definedName>
    <definedName name="DUCECGroup" localSheetId="1">'PCAB|0348-00'!$J$73</definedName>
    <definedName name="DUCECGroup">'B6'!$J$73</definedName>
    <definedName name="DUCECPerm" localSheetId="0">'PCAB|0229-20'!$J$72</definedName>
    <definedName name="DUCECPerm" localSheetId="1">'PCAB|0348-00'!$J$72</definedName>
    <definedName name="DUCECPerm">'B6'!$J$72</definedName>
    <definedName name="DUEleven" localSheetId="0">'PCAB|0229-20'!$J$75</definedName>
    <definedName name="DUEleven" localSheetId="1">'PCAB|0348-00'!$J$75</definedName>
    <definedName name="DUEleven">'B6'!$J$75</definedName>
    <definedName name="DUHealthBen" localSheetId="0">'PCAB|0229-20'!$J$68</definedName>
    <definedName name="DUHealthBen" localSheetId="1">'PCAB|0348-00'!$J$68</definedName>
    <definedName name="DUHealthBen">'B6'!$J$68</definedName>
    <definedName name="DUNine" localSheetId="0">'PCAB|0229-20'!$J$67</definedName>
    <definedName name="DUNine" localSheetId="1">'PCAB|0348-00'!$J$67</definedName>
    <definedName name="DUNine">'B6'!$J$67</definedName>
    <definedName name="DUThirteen" localSheetId="0">'PCAB|0229-20'!$J$80</definedName>
    <definedName name="DUThirteen" localSheetId="1">'PCAB|0348-00'!$J$80</definedName>
    <definedName name="DUThirteen">'B6'!$J$80</definedName>
    <definedName name="DUVariableBen" localSheetId="0">'PCAB|0229-20'!$J$69</definedName>
    <definedName name="DUVariableBen" localSheetId="1">'PCAB|0348-00'!$J$69</definedName>
    <definedName name="DUVariableBen">'B6'!$J$69</definedName>
    <definedName name="Elect_chg_health" localSheetId="0">'PCAB|0229-20'!$L$12</definedName>
    <definedName name="Elect_chg_health" localSheetId="1">'PCAB|0348-00'!$L$12</definedName>
    <definedName name="Elect_chg_health">'B6'!$L$12</definedName>
    <definedName name="Elect_chg_Var" localSheetId="0">'PCAB|0229-20'!$M$12</definedName>
    <definedName name="Elect_chg_Var" localSheetId="1">'PCAB|0348-00'!$M$12</definedName>
    <definedName name="Elect_chg_Var">'B6'!$M$12</definedName>
    <definedName name="elect_FTP" localSheetId="0">'PCAB|0229-20'!$F$12</definedName>
    <definedName name="elect_FTP" localSheetId="1">'PCAB|0348-00'!$F$12</definedName>
    <definedName name="elect_FTP">'B6'!$F$12</definedName>
    <definedName name="Elect_health" localSheetId="0">'PCAB|0229-20'!$H$12</definedName>
    <definedName name="Elect_health" localSheetId="1">'PCAB|0348-00'!$H$12</definedName>
    <definedName name="Elect_health">'B6'!$H$12</definedName>
    <definedName name="Elect_name" localSheetId="0">'PCAB|0229-20'!$C$12</definedName>
    <definedName name="Elect_name" localSheetId="1">'PCAB|0348-00'!$C$12</definedName>
    <definedName name="Elect_name">'B6'!$C$12</definedName>
    <definedName name="Elect_salary" localSheetId="0">'PCAB|0229-20'!$G$12</definedName>
    <definedName name="Elect_salary" localSheetId="1">'PCAB|0348-00'!$G$12</definedName>
    <definedName name="Elect_salary">'B6'!$G$12</definedName>
    <definedName name="Elect_Var" localSheetId="0">'PCAB|0229-20'!$I$12</definedName>
    <definedName name="Elect_Var" localSheetId="1">'PCAB|0348-00'!$I$12</definedName>
    <definedName name="Elect_Var">'B6'!$I$12</definedName>
    <definedName name="Elect_VarBen" localSheetId="0">'PCAB|0229-20'!$I$12</definedName>
    <definedName name="Elect_VarBen" localSheetId="1">'PCAB|0348-00'!$I$12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'PCAB|0229-20'!#REF!</definedName>
    <definedName name="FillRateAvg_B6" localSheetId="1">'PCAB|0348-00'!#REF!</definedName>
    <definedName name="FillRateAvg_B6">'B6'!#REF!</definedName>
    <definedName name="FiscalYear" localSheetId="0">'PCAB|0229-20'!$M$4</definedName>
    <definedName name="FiscalYear" localSheetId="1">'PCAB|0348-00'!$M$4</definedName>
    <definedName name="FiscalYear">'B6'!$M$4</definedName>
    <definedName name="FundName" localSheetId="0">'PCAB|0229-20'!$I$5</definedName>
    <definedName name="FundName" localSheetId="1">'PCAB|0348-00'!$I$5</definedName>
    <definedName name="FundName">'B6'!$I$5</definedName>
    <definedName name="FundNum" localSheetId="0">'PCAB|0229-20'!$N$5</definedName>
    <definedName name="FundNum" localSheetId="1">'PCAB|0348-00'!$N$5</definedName>
    <definedName name="FundNum">'B6'!$N$5</definedName>
    <definedName name="FundNumber" localSheetId="0">'PCAB|0229-20'!$N$5</definedName>
    <definedName name="FundNumber" localSheetId="1">'PCAB|0348-00'!$N$5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'PCAB|0229-20'!$C$11</definedName>
    <definedName name="Group_name" localSheetId="1">'PCAB|0348-00'!$C$11</definedName>
    <definedName name="Group_name">'B6'!$C$11</definedName>
    <definedName name="GroupFxdBen" localSheetId="0">'PCAB|0229-20'!$H$11</definedName>
    <definedName name="GroupFxdBen" localSheetId="1">'PCAB|0348-00'!$H$11</definedName>
    <definedName name="GroupFxdBen">'B6'!$H$11</definedName>
    <definedName name="GroupSalary" localSheetId="0">'PCAB|0229-20'!$G$11</definedName>
    <definedName name="GroupSalary" localSheetId="1">'PCAB|0348-00'!$G$11</definedName>
    <definedName name="GroupSalary">'B6'!$G$11</definedName>
    <definedName name="GroupVarBen" localSheetId="0">'PCAB|0229-20'!$I$11</definedName>
    <definedName name="GroupVarBen" localSheetId="1">'PCAB|0348-00'!$I$11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'PCAB|0229-20'!$M$2</definedName>
    <definedName name="LUMAFund" localSheetId="1">'PCAB|0348-00'!$M$2</definedName>
    <definedName name="LUMAFund">'B6'!$M$2</definedName>
    <definedName name="MAXSSDI">Benefits!$F$5</definedName>
    <definedName name="MAXSSDIBY">Benefits!$G$5</definedName>
    <definedName name="NEW_AdjGroup" localSheetId="0">'PCAB|0229-20'!$AC$39</definedName>
    <definedName name="NEW_AdjGroup" localSheetId="1">'PCAB|0348-00'!$AC$39</definedName>
    <definedName name="NEW_AdjGroup">'B6'!$AC$39</definedName>
    <definedName name="NEW_AdjGroupSalary" localSheetId="0">'PCAB|0229-20'!$AA$39</definedName>
    <definedName name="NEW_AdjGroupSalary" localSheetId="1">'PCAB|0348-00'!$AA$39</definedName>
    <definedName name="NEW_AdjGroupSalary">'B6'!$AA$39</definedName>
    <definedName name="NEW_AdjGroupVB" localSheetId="0">'PCAB|0229-20'!$AB$39</definedName>
    <definedName name="NEW_AdjGroupVB" localSheetId="1">'PCAB|0348-00'!$AB$39</definedName>
    <definedName name="NEW_AdjGroupVB">'B6'!$AB$39</definedName>
    <definedName name="NEW_AdjONLYGroup" localSheetId="0">'PCAB|0229-20'!$AC$45</definedName>
    <definedName name="NEW_AdjONLYGroup" localSheetId="1">'PCAB|0348-00'!$AC$45</definedName>
    <definedName name="NEW_AdjONLYGroup">'B6'!$AC$45</definedName>
    <definedName name="NEW_AdjONLYGroupSalary" localSheetId="0">'PCAB|0229-20'!$AA$45</definedName>
    <definedName name="NEW_AdjONLYGroupSalary" localSheetId="1">'PCAB|0348-00'!$AA$45</definedName>
    <definedName name="NEW_AdjONLYGroupSalary">'B6'!$AA$45</definedName>
    <definedName name="NEW_AdjONLYGroupVB" localSheetId="0">'PCAB|0229-20'!$AB$45</definedName>
    <definedName name="NEW_AdjONLYGroupVB" localSheetId="1">'PCAB|0348-00'!$AB$45</definedName>
    <definedName name="NEW_AdjONLYGroupVB">'B6'!$AB$45</definedName>
    <definedName name="NEW_AdjONLYPerm" localSheetId="0">'PCAB|0229-20'!$AC$44</definedName>
    <definedName name="NEW_AdjONLYPerm" localSheetId="1">'PCAB|0348-00'!$AC$44</definedName>
    <definedName name="NEW_AdjONLYPerm">'B6'!$AC$44</definedName>
    <definedName name="NEW_AdjONLYPermSalary" localSheetId="0">'PCAB|0229-20'!$AA$44</definedName>
    <definedName name="NEW_AdjONLYPermSalary" localSheetId="1">'PCAB|0348-00'!$AA$44</definedName>
    <definedName name="NEW_AdjONLYPermSalary">'B6'!$AA$44</definedName>
    <definedName name="NEW_AdjONLYPermVB" localSheetId="0">'PCAB|0229-20'!$AB$44</definedName>
    <definedName name="NEW_AdjONLYPermVB" localSheetId="1">'PCAB|0348-00'!$AB$44</definedName>
    <definedName name="NEW_AdjONLYPermVB">'B6'!$AB$44</definedName>
    <definedName name="NEW_AdjPerm" localSheetId="0">'PCAB|0229-20'!$AC$38</definedName>
    <definedName name="NEW_AdjPerm" localSheetId="1">'PCAB|0348-00'!$AC$38</definedName>
    <definedName name="NEW_AdjPerm">'B6'!$AC$38</definedName>
    <definedName name="NEW_AdjPermSalary" localSheetId="0">'PCAB|0229-20'!$AA$38</definedName>
    <definedName name="NEW_AdjPermSalary" localSheetId="1">'PCAB|0348-00'!$AA$38</definedName>
    <definedName name="NEW_AdjPermSalary">'B6'!$AA$38</definedName>
    <definedName name="NEW_AdjPermVB" localSheetId="0">'PCAB|0229-20'!$AB$38</definedName>
    <definedName name="NEW_AdjPermVB" localSheetId="1">'PCAB|0348-00'!$AB$38</definedName>
    <definedName name="NEW_AdjPermVB">'B6'!$AB$38</definedName>
    <definedName name="NEW_GroupFilled" localSheetId="0">'PCAB|0229-20'!$AC$11</definedName>
    <definedName name="NEW_GroupFilled" localSheetId="1">'PCAB|0348-00'!$AC$11</definedName>
    <definedName name="NEW_GroupFilled">'B6'!$AC$11</definedName>
    <definedName name="NEW_GroupSalaryFilled" localSheetId="0">'PCAB|0229-20'!$AA$11</definedName>
    <definedName name="NEW_GroupSalaryFilled" localSheetId="1">'PCAB|0348-00'!$AA$11</definedName>
    <definedName name="NEW_GroupSalaryFilled">'B6'!$AA$11</definedName>
    <definedName name="NEW_GroupVBFilled" localSheetId="0">'PCAB|0229-20'!$AB$11</definedName>
    <definedName name="NEW_GroupVBFilled" localSheetId="1">'PCAB|0348-00'!$AB$11</definedName>
    <definedName name="NEW_GroupVBFilled">'B6'!$AB$11</definedName>
    <definedName name="NEW_PermFilled" localSheetId="0">'PCAB|0229-20'!$AC$10</definedName>
    <definedName name="NEW_PermFilled" localSheetId="1">'PCAB|0348-00'!$AC$10</definedName>
    <definedName name="NEW_PermFilled">'B6'!$AC$10</definedName>
    <definedName name="NEW_PermSalaryFilled" localSheetId="0">'PCAB|0229-20'!$AA$10</definedName>
    <definedName name="NEW_PermSalaryFilled" localSheetId="1">'PCAB|0348-00'!$AA$10</definedName>
    <definedName name="NEW_PermSalaryFilled">'B6'!$AA$10</definedName>
    <definedName name="NEW_PermVBFilled" localSheetId="0">'PCAB|0229-20'!$AB$10</definedName>
    <definedName name="NEW_PermVBFilled" localSheetId="1">'PCAB|0348-00'!$AB$10</definedName>
    <definedName name="NEW_PermVBFilled">'B6'!$AB$10</definedName>
    <definedName name="OneTimePC_Total" localSheetId="0">'PCAB|0229-20'!$J$63</definedName>
    <definedName name="OneTimePC_Total" localSheetId="1">'PCAB|0348-00'!$J$63</definedName>
    <definedName name="OneTimePC_Total">'B6'!$J$63</definedName>
    <definedName name="OrigApprop" localSheetId="0">'PCAB|0229-20'!$E$15</definedName>
    <definedName name="OrigApprop" localSheetId="1">'PCAB|0348-00'!$E$15</definedName>
    <definedName name="OrigApprop">'B6'!$E$15</definedName>
    <definedName name="PCAB022920col_1_27TH_PP">Data!$BA$57</definedName>
    <definedName name="PCAB022920col_DHR">Data!$BI$57</definedName>
    <definedName name="PCAB022920col_DHR_BY">Data!$BU$57</definedName>
    <definedName name="PCAB022920col_DHR_CHG">Data!$CG$57</definedName>
    <definedName name="PCAB022920col_FTI_SALARY_ELECT">Data!$AZ$57</definedName>
    <definedName name="PCAB022920col_FTI_SALARY_PERM">Data!$AY$57</definedName>
    <definedName name="PCAB022920col_FTI_SALARY_SSDI">Data!$AX$57</definedName>
    <definedName name="PCAB022920col_Group_Ben">Data!$CM$57</definedName>
    <definedName name="PCAB022920col_Group_Salary">Data!$CL$57</definedName>
    <definedName name="PCAB022920col_HEALTH_ELECT">Data!$BC$57</definedName>
    <definedName name="PCAB022920col_HEALTH_ELECT_BY">Data!$BO$57</definedName>
    <definedName name="PCAB022920col_HEALTH_ELECT_CHG">Data!$CA$57</definedName>
    <definedName name="PCAB022920col_HEALTH_PERM">Data!$BB$57</definedName>
    <definedName name="PCAB022920col_HEALTH_PERM_BY">Data!$BN$57</definedName>
    <definedName name="PCAB022920col_HEALTH_PERM_CHG">Data!$BZ$57</definedName>
    <definedName name="PCAB022920col_INC_FTI">Data!$AS$57</definedName>
    <definedName name="PCAB022920col_LIFE_INS">Data!$BG$57</definedName>
    <definedName name="PCAB022920col_LIFE_INS_BY">Data!$BS$57</definedName>
    <definedName name="PCAB022920col_LIFE_INS_CHG">Data!$CE$57</definedName>
    <definedName name="PCAB022920col_RETIREMENT">Data!$BF$57</definedName>
    <definedName name="PCAB022920col_RETIREMENT_BY">Data!$BR$57</definedName>
    <definedName name="PCAB022920col_RETIREMENT_CHG">Data!$CD$57</definedName>
    <definedName name="PCAB022920col_ROWS_PER_PCN">Data!$AW$57</definedName>
    <definedName name="PCAB022920col_SICK">Data!$BK$57</definedName>
    <definedName name="PCAB022920col_SICK_BY">Data!$BW$57</definedName>
    <definedName name="PCAB022920col_SICK_CHG">Data!$CI$57</definedName>
    <definedName name="PCAB022920col_SSDI">Data!$BD$57</definedName>
    <definedName name="PCAB022920col_SSDI_BY">Data!$BP$57</definedName>
    <definedName name="PCAB022920col_SSDI_CHG">Data!$CB$57</definedName>
    <definedName name="PCAB022920col_SSHI">Data!$BE$57</definedName>
    <definedName name="PCAB022920col_SSHI_BY">Data!$BQ$57</definedName>
    <definedName name="PCAB022920col_SSHI_CHGv">Data!$CC$57</definedName>
    <definedName name="PCAB022920col_TOT_VB_ELECT">Data!$BM$57</definedName>
    <definedName name="PCAB022920col_TOT_VB_ELECT_BY">Data!$BY$57</definedName>
    <definedName name="PCAB022920col_TOT_VB_ELECT_CHG">Data!$CK$57</definedName>
    <definedName name="PCAB022920col_TOT_VB_PERM">Data!$BL$57</definedName>
    <definedName name="PCAB022920col_TOT_VB_PERM_BY">Data!$BX$57</definedName>
    <definedName name="PCAB022920col_TOT_VB_PERM_CHG">Data!$CJ$57</definedName>
    <definedName name="PCAB022920col_TOTAL_ELECT_PCN_FTI">Data!$AT$57</definedName>
    <definedName name="PCAB022920col_TOTAL_ELECT_PCN_FTI_ALT">Data!$AV$57</definedName>
    <definedName name="PCAB022920col_TOTAL_PERM_PCN_FTI">Data!$AU$57</definedName>
    <definedName name="PCAB022920col_UNEMP_INS">Data!$BH$57</definedName>
    <definedName name="PCAB022920col_UNEMP_INS_BY">Data!$BT$57</definedName>
    <definedName name="PCAB022920col_UNEMP_INS_CHG">Data!$CF$57</definedName>
    <definedName name="PCAB022920col_WORKERS_COMP">Data!$BJ$57</definedName>
    <definedName name="PCAB022920col_WORKERS_COMP_BY">Data!$BV$57</definedName>
    <definedName name="PCAB022920col_WORKERS_COMP_CHG">Data!$CH$57</definedName>
    <definedName name="PCAB034800col_1_27TH_PP">Data!$BA$59</definedName>
    <definedName name="PCAB034800col_DHR">Data!$BI$59</definedName>
    <definedName name="PCAB034800col_DHR_BY">Data!$BU$59</definedName>
    <definedName name="PCAB034800col_DHR_CHG">Data!$CG$59</definedName>
    <definedName name="PCAB034800col_FTI_SALARY_ELECT">Data!$AZ$59</definedName>
    <definedName name="PCAB034800col_FTI_SALARY_PERM">Data!$AY$59</definedName>
    <definedName name="PCAB034800col_FTI_SALARY_SSDI">Data!$AX$59</definedName>
    <definedName name="PCAB034800col_Group_Ben">Data!$CM$59</definedName>
    <definedName name="PCAB034800col_Group_Salary">Data!$CL$59</definedName>
    <definedName name="PCAB034800col_HEALTH_ELECT">Data!$BC$59</definedName>
    <definedName name="PCAB034800col_HEALTH_ELECT_BY">Data!$BO$59</definedName>
    <definedName name="PCAB034800col_HEALTH_ELECT_CHG">Data!$CA$59</definedName>
    <definedName name="PCAB034800col_HEALTH_PERM">Data!$BB$59</definedName>
    <definedName name="PCAB034800col_HEALTH_PERM_BY">Data!$BN$59</definedName>
    <definedName name="PCAB034800col_HEALTH_PERM_CHG">Data!$BZ$59</definedName>
    <definedName name="PCAB034800col_INC_FTI">Data!$AS$59</definedName>
    <definedName name="PCAB034800col_LIFE_INS">Data!$BG$59</definedName>
    <definedName name="PCAB034800col_LIFE_INS_BY">Data!$BS$59</definedName>
    <definedName name="PCAB034800col_LIFE_INS_CHG">Data!$CE$59</definedName>
    <definedName name="PCAB034800col_RETIREMENT">Data!$BF$59</definedName>
    <definedName name="PCAB034800col_RETIREMENT_BY">Data!$BR$59</definedName>
    <definedName name="PCAB034800col_RETIREMENT_CHG">Data!$CD$59</definedName>
    <definedName name="PCAB034800col_ROWS_PER_PCN">Data!$AW$59</definedName>
    <definedName name="PCAB034800col_SICK">Data!$BK$59</definedName>
    <definedName name="PCAB034800col_SICK_BY">Data!$BW$59</definedName>
    <definedName name="PCAB034800col_SICK_CHG">Data!$CI$59</definedName>
    <definedName name="PCAB034800col_SSDI">Data!$BD$59</definedName>
    <definedName name="PCAB034800col_SSDI_BY">Data!$BP$59</definedName>
    <definedName name="PCAB034800col_SSDI_CHG">Data!$CB$59</definedName>
    <definedName name="PCAB034800col_SSHI">Data!$BE$59</definedName>
    <definedName name="PCAB034800col_SSHI_BY">Data!$BQ$59</definedName>
    <definedName name="PCAB034800col_SSHI_CHGv">Data!$CC$59</definedName>
    <definedName name="PCAB034800col_TOT_VB_ELECT">Data!$BM$59</definedName>
    <definedName name="PCAB034800col_TOT_VB_ELECT_BY">Data!$BY$59</definedName>
    <definedName name="PCAB034800col_TOT_VB_ELECT_CHG">Data!$CK$59</definedName>
    <definedName name="PCAB034800col_TOT_VB_PERM">Data!$BL$59</definedName>
    <definedName name="PCAB034800col_TOT_VB_PERM_BY">Data!$BX$59</definedName>
    <definedName name="PCAB034800col_TOT_VB_PERM_CHG">Data!$CJ$59</definedName>
    <definedName name="PCAB034800col_TOTAL_ELECT_PCN_FTI">Data!$AT$59</definedName>
    <definedName name="PCAB034800col_TOTAL_ELECT_PCN_FTI_ALT">Data!$AV$59</definedName>
    <definedName name="PCAB034800col_TOTAL_PERM_PCN_FTI">Data!$AU$59</definedName>
    <definedName name="PCAB034800col_UNEMP_INS">Data!$BH$59</definedName>
    <definedName name="PCAB034800col_UNEMP_INS_BY">Data!$BT$59</definedName>
    <definedName name="PCAB034800col_UNEMP_INS_CHG">Data!$CF$59</definedName>
    <definedName name="PCAB034800col_WORKERS_COMP">Data!$BJ$59</definedName>
    <definedName name="PCAB034800col_WORKERS_COMP_BY">Data!$BV$59</definedName>
    <definedName name="PCAB034800col_WORKERS_COMP_CHG">Data!$CH$59</definedName>
    <definedName name="perm_name" localSheetId="0">'PCAB|0229-20'!$C$10</definedName>
    <definedName name="perm_name" localSheetId="1">'PCAB|0348-00'!$C$10</definedName>
    <definedName name="perm_name">'B6'!$C$10</definedName>
    <definedName name="PermFTP" localSheetId="0">'PCAB|0229-20'!$F$10</definedName>
    <definedName name="PermFTP" localSheetId="1">'PCAB|0348-00'!$F$10</definedName>
    <definedName name="PermFTP">'B6'!$F$10</definedName>
    <definedName name="PermFxdBen" localSheetId="0">'PCAB|0229-20'!$H$10</definedName>
    <definedName name="PermFxdBen" localSheetId="1">'PCAB|0348-00'!$H$10</definedName>
    <definedName name="PermFxdBen">'B6'!$H$10</definedName>
    <definedName name="PermFxdBenChg" localSheetId="0">'PCAB|0229-20'!$L$10</definedName>
    <definedName name="PermFxdBenChg" localSheetId="1">'PCAB|0348-00'!$L$10</definedName>
    <definedName name="PermFxdBenChg">'B6'!$L$10</definedName>
    <definedName name="PermFxdChg" localSheetId="0">'PCAB|0229-20'!$L$10</definedName>
    <definedName name="PermFxdChg" localSheetId="1">'PCAB|0348-00'!$L$10</definedName>
    <definedName name="PermFxdChg">'B6'!$L$10</definedName>
    <definedName name="PermSalary" localSheetId="0">'PCAB|0229-20'!$G$10</definedName>
    <definedName name="PermSalary" localSheetId="1">'PCAB|0348-00'!$G$10</definedName>
    <definedName name="PermSalary">'B6'!$G$10</definedName>
    <definedName name="PermVarBen" localSheetId="0">'PCAB|0229-20'!$I$10</definedName>
    <definedName name="PermVarBen" localSheetId="1">'PCAB|0348-00'!$I$10</definedName>
    <definedName name="PermVarBen">'B6'!$I$10</definedName>
    <definedName name="PermVarBenChg" localSheetId="0">'PCAB|0229-20'!$M$10</definedName>
    <definedName name="PermVarBenChg" localSheetId="1">'PCAB|0348-00'!$M$10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'PCAB|0229-20'!$A$1:$N$81</definedName>
    <definedName name="_xlnm.Print_Area" localSheetId="1">'PCAB|0348-00'!$A$1:$N$81</definedName>
    <definedName name="Prog_Unadjusted_Total" localSheetId="0">'PCAB|0229-20'!$C$8:$N$16</definedName>
    <definedName name="Prog_Unadjusted_Total" localSheetId="1">'PCAB|0348-00'!$C$8:$N$16</definedName>
    <definedName name="Prog_Unadjusted_Total">'B6'!$C$8:$N$16</definedName>
    <definedName name="Program" localSheetId="0">'PCAB|0229-20'!$D$3</definedName>
    <definedName name="Program" localSheetId="1">'PCAB|0348-00'!$D$3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'PCAB|0229-20'!$G$52</definedName>
    <definedName name="RoundedAppropSalary" localSheetId="1">'PCAB|0348-00'!$G$52</definedName>
    <definedName name="RoundedAppropSalary">'B6'!$G$52</definedName>
    <definedName name="SalaryChg" localSheetId="0">'PCAB|0229-20'!$K$10</definedName>
    <definedName name="SalaryChg" localSheetId="1">'PCAB|0348-00'!$K$10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'PCAB|0229-20'!#REF!</definedName>
    <definedName name="SubCECBase" localSheetId="1">'PCAB|0348-00'!#REF!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K21" i="11"/>
  <c r="L21" i="11"/>
  <c r="AZ80" i="5"/>
  <c r="AY80" i="5"/>
  <c r="AW80" i="5"/>
  <c r="AV80" i="5"/>
  <c r="AU80" i="5"/>
  <c r="AT80" i="5"/>
  <c r="AS80" i="5"/>
  <c r="BA78" i="5"/>
  <c r="AZ78" i="5"/>
  <c r="AY78" i="5"/>
  <c r="AX78" i="5"/>
  <c r="AW78" i="5"/>
  <c r="AV78" i="5"/>
  <c r="AU78" i="5"/>
  <c r="AT78" i="5"/>
  <c r="AS78" i="5"/>
  <c r="AZ72" i="5"/>
  <c r="AY72" i="5"/>
  <c r="AW72" i="5"/>
  <c r="AV72" i="5"/>
  <c r="AU72" i="5"/>
  <c r="AT72" i="5"/>
  <c r="AS72" i="5"/>
  <c r="AW76" i="5"/>
  <c r="AZ76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F56" i="13" s="1"/>
  <c r="F60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N33" i="13" s="1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N27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N26" i="12" s="1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2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T5" i="5" s="1"/>
  <c r="AS6" i="5"/>
  <c r="AT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T13" i="5" s="1"/>
  <c r="AS14" i="5"/>
  <c r="AT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T21" i="5" s="1"/>
  <c r="AS22" i="5"/>
  <c r="AT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T29" i="5" s="1"/>
  <c r="AS30" i="5"/>
  <c r="AT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T37" i="5" s="1"/>
  <c r="AS38" i="5"/>
  <c r="AT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T45" i="5" s="1"/>
  <c r="AS46" i="5"/>
  <c r="AT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T53" i="5" s="1"/>
  <c r="AS2" i="5"/>
  <c r="AX2" i="5" s="1"/>
  <c r="E27" i="7"/>
  <c r="N26" i="13" l="1"/>
  <c r="N29" i="13"/>
  <c r="N20" i="13"/>
  <c r="N21" i="12"/>
  <c r="N29" i="12"/>
  <c r="N20" i="12"/>
  <c r="N21" i="13"/>
  <c r="N24" i="13"/>
  <c r="N35" i="13"/>
  <c r="N22" i="13"/>
  <c r="N25" i="13"/>
  <c r="N28" i="13"/>
  <c r="N23" i="12"/>
  <c r="N32" i="12"/>
  <c r="N30" i="13"/>
  <c r="N34" i="13"/>
  <c r="AU67" i="5"/>
  <c r="AU68" i="5" s="1"/>
  <c r="AV75" i="5"/>
  <c r="AV76" i="5" s="1"/>
  <c r="AT69" i="5"/>
  <c r="AX75" i="5"/>
  <c r="AX76" i="5" s="1"/>
  <c r="AU69" i="5"/>
  <c r="AY75" i="5"/>
  <c r="AY76" i="5" s="1"/>
  <c r="BA75" i="5"/>
  <c r="BA76" i="5" s="1"/>
  <c r="AT75" i="5"/>
  <c r="AT76" i="5" s="1"/>
  <c r="AT67" i="5"/>
  <c r="AT68" i="5" s="1"/>
  <c r="AU75" i="5"/>
  <c r="AU76" i="5" s="1"/>
  <c r="N39" i="13"/>
  <c r="F67" i="13"/>
  <c r="N25" i="12"/>
  <c r="N28" i="12"/>
  <c r="N34" i="12"/>
  <c r="N22" i="12"/>
  <c r="N27" i="12"/>
  <c r="N30" i="12"/>
  <c r="N24" i="12"/>
  <c r="N33" i="12"/>
  <c r="N35" i="12"/>
  <c r="CM58" i="5"/>
  <c r="CM59" i="5" s="1"/>
  <c r="CL58" i="5"/>
  <c r="CL59" i="5" s="1"/>
  <c r="N39" i="12"/>
  <c r="CL56" i="5"/>
  <c r="CL57" i="5" s="1"/>
  <c r="G11" i="12" s="1"/>
  <c r="AT44" i="5"/>
  <c r="BI44" i="5" s="1"/>
  <c r="AW56" i="5"/>
  <c r="AW57" i="5" s="1"/>
  <c r="CM56" i="5"/>
  <c r="CM57" i="5" s="1"/>
  <c r="G5" i="10" s="1"/>
  <c r="AW58" i="5"/>
  <c r="AW59" i="5" s="1"/>
  <c r="F52" i="12"/>
  <c r="F56" i="12" s="1"/>
  <c r="F60" i="12" s="1"/>
  <c r="AT52" i="5"/>
  <c r="BE52" i="5" s="1"/>
  <c r="AT36" i="5"/>
  <c r="AY36" i="5" s="1"/>
  <c r="AT28" i="5"/>
  <c r="BG28" i="5" s="1"/>
  <c r="AT20" i="5"/>
  <c r="CH20" i="5" s="1"/>
  <c r="AT12" i="5"/>
  <c r="AY12" i="5" s="1"/>
  <c r="AT4" i="5"/>
  <c r="BI4" i="5" s="1"/>
  <c r="AT50" i="5"/>
  <c r="BA50" i="5" s="1"/>
  <c r="AT34" i="5"/>
  <c r="AZ34" i="5" s="1"/>
  <c r="AT18" i="5"/>
  <c r="CI18" i="5" s="1"/>
  <c r="AT49" i="5"/>
  <c r="BA49" i="5" s="1"/>
  <c r="AT33" i="5"/>
  <c r="AZ33" i="5" s="1"/>
  <c r="AT17" i="5"/>
  <c r="AU17" i="5" s="1"/>
  <c r="BB17" i="5" s="1"/>
  <c r="AT47" i="5"/>
  <c r="AZ47" i="5" s="1"/>
  <c r="AT15" i="5"/>
  <c r="AZ15" i="5" s="1"/>
  <c r="AT42" i="5"/>
  <c r="AY42" i="5" s="1"/>
  <c r="AT26" i="5"/>
  <c r="BW26" i="5" s="1"/>
  <c r="AT10" i="5"/>
  <c r="BA10" i="5" s="1"/>
  <c r="AT31" i="5"/>
  <c r="AZ31" i="5" s="1"/>
  <c r="AT41" i="5"/>
  <c r="BA41" i="5" s="1"/>
  <c r="AT25" i="5"/>
  <c r="AU25" i="5" s="1"/>
  <c r="AT9" i="5"/>
  <c r="BA9" i="5" s="1"/>
  <c r="AT39" i="5"/>
  <c r="AV39" i="5" s="1"/>
  <c r="AT23" i="5"/>
  <c r="BT23" i="5" s="1"/>
  <c r="AT7" i="5"/>
  <c r="AZ7" i="5" s="1"/>
  <c r="CF46" i="5"/>
  <c r="CD46" i="5"/>
  <c r="BY46" i="5"/>
  <c r="BV46" i="5"/>
  <c r="CK46" i="5"/>
  <c r="CE46" i="5"/>
  <c r="CC46" i="5"/>
  <c r="CA46" i="5"/>
  <c r="CI46" i="5"/>
  <c r="BW46" i="5"/>
  <c r="BU46" i="5"/>
  <c r="BS46" i="5"/>
  <c r="BQ46" i="5"/>
  <c r="BT46" i="5"/>
  <c r="BR46" i="5"/>
  <c r="BI46" i="5"/>
  <c r="BG46" i="5"/>
  <c r="BE46" i="5"/>
  <c r="BM46" i="5"/>
  <c r="BJ46" i="5"/>
  <c r="BH46" i="5"/>
  <c r="BF46" i="5"/>
  <c r="AZ46" i="5"/>
  <c r="AU46" i="5"/>
  <c r="BB46" i="5" s="1"/>
  <c r="BA46" i="5"/>
  <c r="AY46" i="5"/>
  <c r="AV46" i="5"/>
  <c r="BO46" i="5" s="1"/>
  <c r="BK46" i="5"/>
  <c r="CF30" i="5"/>
  <c r="CD30" i="5"/>
  <c r="BV30" i="5"/>
  <c r="CE30" i="5"/>
  <c r="CC30" i="5"/>
  <c r="CA30" i="5"/>
  <c r="BY30" i="5"/>
  <c r="CI30" i="5"/>
  <c r="BW30" i="5"/>
  <c r="BU30" i="5"/>
  <c r="BS30" i="5"/>
  <c r="BQ30" i="5"/>
  <c r="BM30" i="5"/>
  <c r="BT30" i="5"/>
  <c r="BR30" i="5"/>
  <c r="CK30" i="5"/>
  <c r="BI30" i="5"/>
  <c r="BG30" i="5"/>
  <c r="BE30" i="5"/>
  <c r="BK30" i="5"/>
  <c r="BJ30" i="5"/>
  <c r="BH30" i="5"/>
  <c r="BF30" i="5"/>
  <c r="AZ30" i="5"/>
  <c r="AU30" i="5"/>
  <c r="BB30" i="5" s="1"/>
  <c r="AY30" i="5"/>
  <c r="AV30" i="5"/>
  <c r="BO30" i="5" s="1"/>
  <c r="BA30" i="5"/>
  <c r="CH14" i="5"/>
  <c r="CF14" i="5"/>
  <c r="CD14" i="5"/>
  <c r="BZ14" i="5"/>
  <c r="BV14" i="5"/>
  <c r="CG14" i="5"/>
  <c r="BX14" i="5"/>
  <c r="CE14" i="5"/>
  <c r="CC14" i="5"/>
  <c r="CA14" i="5"/>
  <c r="BY14" i="5"/>
  <c r="CJ14" i="5"/>
  <c r="CI14" i="5"/>
  <c r="BW14" i="5"/>
  <c r="BL14" i="5"/>
  <c r="BU14" i="5"/>
  <c r="BS14" i="5"/>
  <c r="BQ14" i="5"/>
  <c r="BM14" i="5"/>
  <c r="CK14" i="5"/>
  <c r="BT14" i="5"/>
  <c r="BR14" i="5"/>
  <c r="BI14" i="5"/>
  <c r="BG14" i="5"/>
  <c r="BE14" i="5"/>
  <c r="BJ14" i="5"/>
  <c r="BH14" i="5"/>
  <c r="BF14" i="5"/>
  <c r="AZ14" i="5"/>
  <c r="AU14" i="5"/>
  <c r="BN14" i="5" s="1"/>
  <c r="BA14" i="5"/>
  <c r="BK14" i="5"/>
  <c r="AY14" i="5"/>
  <c r="AV14" i="5"/>
  <c r="BO14" i="5" s="1"/>
  <c r="CF6" i="5"/>
  <c r="CD6" i="5"/>
  <c r="BV6" i="5"/>
  <c r="CE6" i="5"/>
  <c r="CC6" i="5"/>
  <c r="CA6" i="5"/>
  <c r="BY6" i="5"/>
  <c r="CI6" i="5"/>
  <c r="BW6" i="5"/>
  <c r="BU6" i="5"/>
  <c r="BS6" i="5"/>
  <c r="BQ6" i="5"/>
  <c r="BM6" i="5"/>
  <c r="CK6" i="5"/>
  <c r="BT6" i="5"/>
  <c r="BR6" i="5"/>
  <c r="BK6" i="5"/>
  <c r="BI6" i="5"/>
  <c r="BG6" i="5"/>
  <c r="BE6" i="5"/>
  <c r="BH6" i="5"/>
  <c r="BF6" i="5"/>
  <c r="BJ6" i="5"/>
  <c r="AU6" i="5"/>
  <c r="BB6" i="5" s="1"/>
  <c r="AZ6" i="5"/>
  <c r="BA6" i="5"/>
  <c r="AY6" i="5"/>
  <c r="AV6" i="5"/>
  <c r="BC6" i="5" s="1"/>
  <c r="CF38" i="5"/>
  <c r="CD38" i="5"/>
  <c r="BV38" i="5"/>
  <c r="BY38" i="5"/>
  <c r="CE38" i="5"/>
  <c r="CC38" i="5"/>
  <c r="CA38" i="5"/>
  <c r="CK38" i="5"/>
  <c r="CI38" i="5"/>
  <c r="BW38" i="5"/>
  <c r="BM38" i="5"/>
  <c r="BU38" i="5"/>
  <c r="BS38" i="5"/>
  <c r="BQ38" i="5"/>
  <c r="BT38" i="5"/>
  <c r="BR38" i="5"/>
  <c r="BK38" i="5"/>
  <c r="BI38" i="5"/>
  <c r="BG38" i="5"/>
  <c r="BE38" i="5"/>
  <c r="BJ38" i="5"/>
  <c r="BH38" i="5"/>
  <c r="BF38" i="5"/>
  <c r="AZ38" i="5"/>
  <c r="AU38" i="5"/>
  <c r="BN38" i="5" s="1"/>
  <c r="BA38" i="5"/>
  <c r="AY38" i="5"/>
  <c r="AV38" i="5"/>
  <c r="BC38" i="5" s="1"/>
  <c r="CG22" i="5"/>
  <c r="BX22" i="5"/>
  <c r="CF22" i="5"/>
  <c r="CD22" i="5"/>
  <c r="BZ22" i="5"/>
  <c r="CJ22" i="5"/>
  <c r="BV22" i="5"/>
  <c r="CH22" i="5"/>
  <c r="CE22" i="5"/>
  <c r="CC22" i="5"/>
  <c r="CA22" i="5"/>
  <c r="BY22" i="5"/>
  <c r="CI22" i="5"/>
  <c r="BW22" i="5"/>
  <c r="BU22" i="5"/>
  <c r="BS22" i="5"/>
  <c r="BQ22" i="5"/>
  <c r="BM22" i="5"/>
  <c r="BT22" i="5"/>
  <c r="BR22" i="5"/>
  <c r="BI22" i="5"/>
  <c r="BG22" i="5"/>
  <c r="BE22" i="5"/>
  <c r="BL22" i="5"/>
  <c r="CK22" i="5"/>
  <c r="BK22" i="5"/>
  <c r="BJ22" i="5"/>
  <c r="BH22" i="5"/>
  <c r="BF22" i="5"/>
  <c r="BA22" i="5"/>
  <c r="AZ22" i="5"/>
  <c r="AU22" i="5"/>
  <c r="BB22" i="5" s="1"/>
  <c r="AY22" i="5"/>
  <c r="AV22" i="5"/>
  <c r="BO22" i="5" s="1"/>
  <c r="CF53" i="5"/>
  <c r="CD53" i="5"/>
  <c r="BZ53" i="5"/>
  <c r="CH53" i="5"/>
  <c r="BY53" i="5"/>
  <c r="CJ53" i="5"/>
  <c r="BX53" i="5"/>
  <c r="CK53" i="5"/>
  <c r="CE53" i="5"/>
  <c r="CC53" i="5"/>
  <c r="CA53" i="5"/>
  <c r="CI53" i="5"/>
  <c r="CG53" i="5"/>
  <c r="BU53" i="5"/>
  <c r="BS53" i="5"/>
  <c r="BQ53" i="5"/>
  <c r="BT53" i="5"/>
  <c r="BR53" i="5"/>
  <c r="BV53" i="5"/>
  <c r="BM53" i="5"/>
  <c r="BW53" i="5"/>
  <c r="BK53" i="5"/>
  <c r="BJ53" i="5"/>
  <c r="BH53" i="5"/>
  <c r="BF53" i="5"/>
  <c r="BL53" i="5"/>
  <c r="BI53" i="5"/>
  <c r="BG53" i="5"/>
  <c r="BE53" i="5"/>
  <c r="AZ53" i="5"/>
  <c r="AU53" i="5"/>
  <c r="BN53" i="5" s="1"/>
  <c r="AY53" i="5"/>
  <c r="AV53" i="5"/>
  <c r="BC53" i="5" s="1"/>
  <c r="BA53" i="5"/>
  <c r="CF45" i="5"/>
  <c r="CD45" i="5"/>
  <c r="BY45" i="5"/>
  <c r="CK45" i="5"/>
  <c r="CE45" i="5"/>
  <c r="CC45" i="5"/>
  <c r="CA45" i="5"/>
  <c r="CI45" i="5"/>
  <c r="BU45" i="5"/>
  <c r="BS45" i="5"/>
  <c r="BQ45" i="5"/>
  <c r="BW45" i="5"/>
  <c r="BT45" i="5"/>
  <c r="BR45" i="5"/>
  <c r="BM45" i="5"/>
  <c r="BV45" i="5"/>
  <c r="BJ45" i="5"/>
  <c r="BH45" i="5"/>
  <c r="BF45" i="5"/>
  <c r="BK45" i="5"/>
  <c r="BI45" i="5"/>
  <c r="BG45" i="5"/>
  <c r="BE45" i="5"/>
  <c r="AZ45" i="5"/>
  <c r="BA45" i="5"/>
  <c r="AU45" i="5"/>
  <c r="BN45" i="5" s="1"/>
  <c r="AY45" i="5"/>
  <c r="AV45" i="5"/>
  <c r="BC45" i="5" s="1"/>
  <c r="CG37" i="5"/>
  <c r="CF37" i="5"/>
  <c r="CD37" i="5"/>
  <c r="BZ37" i="5"/>
  <c r="CE37" i="5"/>
  <c r="CC37" i="5"/>
  <c r="BX37" i="5"/>
  <c r="CJ37" i="5"/>
  <c r="CI37" i="5"/>
  <c r="BU37" i="5"/>
  <c r="BS37" i="5"/>
  <c r="BQ37" i="5"/>
  <c r="BV37" i="5"/>
  <c r="BT37" i="5"/>
  <c r="BR37" i="5"/>
  <c r="BL37" i="5"/>
  <c r="BJ37" i="5"/>
  <c r="BH37" i="5"/>
  <c r="BF37" i="5"/>
  <c r="BW37" i="5"/>
  <c r="BK37" i="5"/>
  <c r="BI37" i="5"/>
  <c r="BG37" i="5"/>
  <c r="BE37" i="5"/>
  <c r="AZ37" i="5"/>
  <c r="AU37" i="5"/>
  <c r="BN37" i="5" s="1"/>
  <c r="BA37" i="5"/>
  <c r="AY37" i="5"/>
  <c r="AV37" i="5"/>
  <c r="BO37" i="5" s="1"/>
  <c r="CF29" i="5"/>
  <c r="CD29" i="5"/>
  <c r="CE29" i="5"/>
  <c r="CC29" i="5"/>
  <c r="CA29" i="5"/>
  <c r="BY29" i="5"/>
  <c r="CI29" i="5"/>
  <c r="CG29" i="5"/>
  <c r="BW29" i="5"/>
  <c r="CK29" i="5"/>
  <c r="BU29" i="5"/>
  <c r="BS29" i="5"/>
  <c r="BQ29" i="5"/>
  <c r="BM29" i="5"/>
  <c r="BV29" i="5"/>
  <c r="BT29" i="5"/>
  <c r="BR29" i="5"/>
  <c r="BK29" i="5"/>
  <c r="BJ29" i="5"/>
  <c r="BH29" i="5"/>
  <c r="BF29" i="5"/>
  <c r="BI29" i="5"/>
  <c r="BG29" i="5"/>
  <c r="BE29" i="5"/>
  <c r="AZ29" i="5"/>
  <c r="AU29" i="5"/>
  <c r="BB29" i="5" s="1"/>
  <c r="AY29" i="5"/>
  <c r="BA29" i="5"/>
  <c r="AV29" i="5"/>
  <c r="BC29" i="5" s="1"/>
  <c r="CF21" i="5"/>
  <c r="CD21" i="5"/>
  <c r="CE21" i="5"/>
  <c r="CC21" i="5"/>
  <c r="CA21" i="5"/>
  <c r="BY21" i="5"/>
  <c r="CI21" i="5"/>
  <c r="BW21" i="5"/>
  <c r="CK21" i="5"/>
  <c r="BU21" i="5"/>
  <c r="BS21" i="5"/>
  <c r="BQ21" i="5"/>
  <c r="BM21" i="5"/>
  <c r="BT21" i="5"/>
  <c r="BR21" i="5"/>
  <c r="BV21" i="5"/>
  <c r="BK21" i="5"/>
  <c r="BJ21" i="5"/>
  <c r="BH21" i="5"/>
  <c r="BF21" i="5"/>
  <c r="BI21" i="5"/>
  <c r="BG21" i="5"/>
  <c r="BE21" i="5"/>
  <c r="AZ21" i="5"/>
  <c r="AU21" i="5"/>
  <c r="BN21" i="5" s="1"/>
  <c r="AY21" i="5"/>
  <c r="AV21" i="5"/>
  <c r="BO21" i="5" s="1"/>
  <c r="BA21" i="5"/>
  <c r="CF13" i="5"/>
  <c r="CD13" i="5"/>
  <c r="CG13" i="5"/>
  <c r="CE13" i="5"/>
  <c r="CC13" i="5"/>
  <c r="CA13" i="5"/>
  <c r="BY13" i="5"/>
  <c r="CI13" i="5"/>
  <c r="BW13" i="5"/>
  <c r="CK13" i="5"/>
  <c r="BU13" i="5"/>
  <c r="BS13" i="5"/>
  <c r="BQ13" i="5"/>
  <c r="BM13" i="5"/>
  <c r="BT13" i="5"/>
  <c r="BR13" i="5"/>
  <c r="BV13" i="5"/>
  <c r="BJ13" i="5"/>
  <c r="BH13" i="5"/>
  <c r="BF13" i="5"/>
  <c r="BK13" i="5"/>
  <c r="BI13" i="5"/>
  <c r="BG13" i="5"/>
  <c r="BE13" i="5"/>
  <c r="AZ13" i="5"/>
  <c r="BA13" i="5"/>
  <c r="AU13" i="5"/>
  <c r="BN13" i="5" s="1"/>
  <c r="AY13" i="5"/>
  <c r="AV13" i="5"/>
  <c r="BC13" i="5" s="1"/>
  <c r="CF5" i="5"/>
  <c r="CD5" i="5"/>
  <c r="CE5" i="5"/>
  <c r="CC5" i="5"/>
  <c r="CA5" i="5"/>
  <c r="BY5" i="5"/>
  <c r="CI5" i="5"/>
  <c r="BW5" i="5"/>
  <c r="CK5" i="5"/>
  <c r="BU5" i="5"/>
  <c r="BS5" i="5"/>
  <c r="BQ5" i="5"/>
  <c r="BM5" i="5"/>
  <c r="BV5" i="5"/>
  <c r="BT5" i="5"/>
  <c r="BR5" i="5"/>
  <c r="BH5" i="5"/>
  <c r="BF5" i="5"/>
  <c r="BJ5" i="5"/>
  <c r="BK5" i="5"/>
  <c r="BI5" i="5"/>
  <c r="BG5" i="5"/>
  <c r="BE5" i="5"/>
  <c r="AU5" i="5"/>
  <c r="BB5" i="5" s="1"/>
  <c r="AZ5" i="5"/>
  <c r="BA5" i="5"/>
  <c r="AY5" i="5"/>
  <c r="AV5" i="5"/>
  <c r="BO5" i="5" s="1"/>
  <c r="AT51" i="5"/>
  <c r="AT43" i="5"/>
  <c r="AT35" i="5"/>
  <c r="AT27" i="5"/>
  <c r="AT19" i="5"/>
  <c r="AT11" i="5"/>
  <c r="AT3" i="5"/>
  <c r="AU49" i="5"/>
  <c r="BB49" i="5" s="1"/>
  <c r="AX5" i="5"/>
  <c r="BD5" i="5" s="1"/>
  <c r="AX13" i="5"/>
  <c r="AX21" i="5"/>
  <c r="BD21" i="5" s="1"/>
  <c r="AX29" i="5"/>
  <c r="BD29" i="5" s="1"/>
  <c r="AX37" i="5"/>
  <c r="BD37" i="5" s="1"/>
  <c r="AX45" i="5"/>
  <c r="BD45" i="5" s="1"/>
  <c r="AX53" i="5"/>
  <c r="AY31" i="5"/>
  <c r="BX26" i="5"/>
  <c r="CH26" i="5"/>
  <c r="BJ26" i="5"/>
  <c r="CA18" i="5"/>
  <c r="BS18" i="5"/>
  <c r="BI18" i="5"/>
  <c r="BW10" i="5"/>
  <c r="AX6" i="5"/>
  <c r="AX14" i="5"/>
  <c r="AX22" i="5"/>
  <c r="BD22" i="5" s="1"/>
  <c r="AX30" i="5"/>
  <c r="AX38" i="5"/>
  <c r="AX46" i="5"/>
  <c r="BW52" i="5"/>
  <c r="BM52" i="5"/>
  <c r="BR41" i="5"/>
  <c r="BE41" i="5"/>
  <c r="CA17" i="5"/>
  <c r="CD17" i="5"/>
  <c r="AZ41" i="5"/>
  <c r="AT48" i="5"/>
  <c r="AT40" i="5"/>
  <c r="AT32" i="5"/>
  <c r="AT24" i="5"/>
  <c r="AT16" i="5"/>
  <c r="AT8" i="5"/>
  <c r="AU20" i="5"/>
  <c r="BN20" i="5" s="1"/>
  <c r="AY44" i="5"/>
  <c r="BA17" i="5"/>
  <c r="BP17" i="5" s="1"/>
  <c r="BV36" i="5"/>
  <c r="BM36" i="5"/>
  <c r="CI34" i="5"/>
  <c r="BU34" i="5"/>
  <c r="BK34" i="5"/>
  <c r="BE20" i="5"/>
  <c r="CE49" i="5"/>
  <c r="BR49" i="5"/>
  <c r="BQ49" i="5"/>
  <c r="BD49" i="5"/>
  <c r="BK47" i="5"/>
  <c r="BG47" i="5"/>
  <c r="CA31" i="5"/>
  <c r="BV31" i="5"/>
  <c r="BF31" i="5"/>
  <c r="CA7" i="5"/>
  <c r="CI7" i="5"/>
  <c r="BH7" i="5"/>
  <c r="AT2" i="5"/>
  <c r="AY18" i="5"/>
  <c r="CE44" i="5"/>
  <c r="BM44" i="5"/>
  <c r="BU44" i="5"/>
  <c r="BH44" i="5"/>
  <c r="CC20" i="5"/>
  <c r="CA20" i="5"/>
  <c r="BX20" i="5"/>
  <c r="CD20" i="5"/>
  <c r="BQ20" i="5"/>
  <c r="BJ20" i="5"/>
  <c r="BJ15" i="5"/>
  <c r="AU7" i="5"/>
  <c r="BB7" i="5" s="1"/>
  <c r="AY25" i="5"/>
  <c r="BG44" i="5"/>
  <c r="E51" i="9"/>
  <c r="BI33" i="5" l="1"/>
  <c r="BD28" i="5"/>
  <c r="CK33" i="5"/>
  <c r="BT28" i="5"/>
  <c r="BY33" i="5"/>
  <c r="BY28" i="5"/>
  <c r="AU41" i="5"/>
  <c r="BN41" i="5" s="1"/>
  <c r="AY28" i="5"/>
  <c r="BD41" i="5"/>
  <c r="BI28" i="5"/>
  <c r="BQ33" i="5"/>
  <c r="CJ41" i="5"/>
  <c r="CC17" i="5"/>
  <c r="BV20" i="5"/>
  <c r="CE20" i="5"/>
  <c r="BT44" i="5"/>
  <c r="AV44" i="5"/>
  <c r="BC44" i="5" s="1"/>
  <c r="CG20" i="5"/>
  <c r="CJ20" i="5"/>
  <c r="CI44" i="5"/>
  <c r="AV17" i="5"/>
  <c r="BO17" i="5" s="1"/>
  <c r="CE17" i="5"/>
  <c r="BF20" i="5"/>
  <c r="AZ17" i="5"/>
  <c r="BR20" i="5"/>
  <c r="BQ44" i="5"/>
  <c r="CA44" i="5"/>
  <c r="CI25" i="5"/>
  <c r="BH20" i="5"/>
  <c r="BT20" i="5"/>
  <c r="BF44" i="5"/>
  <c r="CC44" i="5"/>
  <c r="AZ25" i="5"/>
  <c r="BA44" i="5"/>
  <c r="BP44" i="5" s="1"/>
  <c r="BK20" i="5"/>
  <c r="CI20" i="5"/>
  <c r="BS44" i="5"/>
  <c r="BY44" i="5"/>
  <c r="BE17" i="5"/>
  <c r="BK12" i="5"/>
  <c r="BV12" i="5"/>
  <c r="CE12" i="5"/>
  <c r="AU31" i="5"/>
  <c r="BB31" i="5" s="1"/>
  <c r="BT31" i="5"/>
  <c r="BI31" i="5"/>
  <c r="BK31" i="5"/>
  <c r="BG49" i="5"/>
  <c r="CA49" i="5"/>
  <c r="BD31" i="5"/>
  <c r="CI31" i="5"/>
  <c r="BY31" i="5"/>
  <c r="BI49" i="5"/>
  <c r="BP49" i="5"/>
  <c r="CC49" i="5"/>
  <c r="AV36" i="5"/>
  <c r="BO36" i="5" s="1"/>
  <c r="BJ36" i="5"/>
  <c r="CF36" i="5"/>
  <c r="BK36" i="5"/>
  <c r="BW31" i="5"/>
  <c r="BF49" i="5"/>
  <c r="BS49" i="5"/>
  <c r="BI36" i="5"/>
  <c r="BS36" i="5"/>
  <c r="CK36" i="5"/>
  <c r="AV49" i="5"/>
  <c r="BC49" i="5" s="1"/>
  <c r="BH31" i="5"/>
  <c r="CC31" i="5"/>
  <c r="BT49" i="5"/>
  <c r="BJ31" i="5"/>
  <c r="BM31" i="5"/>
  <c r="CE31" i="5"/>
  <c r="BH49" i="5"/>
  <c r="BU49" i="5"/>
  <c r="BY49" i="5"/>
  <c r="BU36" i="5"/>
  <c r="BW36" i="5"/>
  <c r="AU36" i="5"/>
  <c r="BN36" i="5" s="1"/>
  <c r="AZ49" i="5"/>
  <c r="BA31" i="5"/>
  <c r="BP31" i="5" s="1"/>
  <c r="BQ31" i="5"/>
  <c r="CD31" i="5"/>
  <c r="BJ49" i="5"/>
  <c r="BW49" i="5"/>
  <c r="CD49" i="5"/>
  <c r="BA36" i="5"/>
  <c r="BP36" i="5" s="1"/>
  <c r="BQ36" i="5"/>
  <c r="CD36" i="5"/>
  <c r="CI36" i="5"/>
  <c r="AY49" i="5"/>
  <c r="BE31" i="5"/>
  <c r="BS31" i="5"/>
  <c r="CF31" i="5"/>
  <c r="BK49" i="5"/>
  <c r="BV49" i="5"/>
  <c r="CF49" i="5"/>
  <c r="BD36" i="5"/>
  <c r="BY36" i="5"/>
  <c r="CA36" i="5"/>
  <c r="BR31" i="5"/>
  <c r="BG31" i="5"/>
  <c r="BU31" i="5"/>
  <c r="CK31" i="5"/>
  <c r="BE49" i="5"/>
  <c r="BM49" i="5"/>
  <c r="CI49" i="5"/>
  <c r="BF36" i="5"/>
  <c r="BR36" i="5"/>
  <c r="CC36" i="5"/>
  <c r="CK49" i="5"/>
  <c r="BH36" i="5"/>
  <c r="BT36" i="5"/>
  <c r="CE36" i="5"/>
  <c r="BE36" i="5"/>
  <c r="BP6" i="5"/>
  <c r="BX6" i="5" s="1"/>
  <c r="BY25" i="5"/>
  <c r="BL20" i="5"/>
  <c r="CF20" i="5"/>
  <c r="BV44" i="5"/>
  <c r="CF44" i="5"/>
  <c r="BI17" i="5"/>
  <c r="CA25" i="5"/>
  <c r="BA20" i="5"/>
  <c r="BP20" i="5" s="1"/>
  <c r="BI20" i="5"/>
  <c r="BH42" i="5"/>
  <c r="BS20" i="5"/>
  <c r="BW20" i="5"/>
  <c r="BD44" i="5"/>
  <c r="CB44" i="5" s="1"/>
  <c r="CD44" i="5"/>
  <c r="BA25" i="5"/>
  <c r="BP25" i="5" s="1"/>
  <c r="BT50" i="5"/>
  <c r="BT17" i="5"/>
  <c r="BB25" i="5"/>
  <c r="BG17" i="5"/>
  <c r="BE25" i="5"/>
  <c r="BG20" i="5"/>
  <c r="BG25" i="5"/>
  <c r="AY17" i="5"/>
  <c r="BM20" i="5"/>
  <c r="BZ20" i="5"/>
  <c r="CK20" i="5"/>
  <c r="BK44" i="5"/>
  <c r="BR44" i="5"/>
  <c r="CK44" i="5"/>
  <c r="AV25" i="5"/>
  <c r="BC25" i="5" s="1"/>
  <c r="AY20" i="5"/>
  <c r="BR17" i="5"/>
  <c r="BR25" i="5"/>
  <c r="AV20" i="5"/>
  <c r="BC20" i="5" s="1"/>
  <c r="CI47" i="5"/>
  <c r="BS12" i="5"/>
  <c r="BS33" i="5"/>
  <c r="CC33" i="5"/>
  <c r="BS9" i="5"/>
  <c r="BT25" i="5"/>
  <c r="BG41" i="5"/>
  <c r="BT41" i="5"/>
  <c r="BF28" i="5"/>
  <c r="BW28" i="5"/>
  <c r="AU33" i="5"/>
  <c r="BN33" i="5" s="1"/>
  <c r="BA33" i="5"/>
  <c r="BP33" i="5" s="1"/>
  <c r="AY33" i="5"/>
  <c r="AV28" i="5"/>
  <c r="BC28" i="5" s="1"/>
  <c r="BD47" i="5"/>
  <c r="BV47" i="5"/>
  <c r="BJ12" i="5"/>
  <c r="BF33" i="5"/>
  <c r="BU33" i="5"/>
  <c r="BU9" i="5"/>
  <c r="BV25" i="5"/>
  <c r="BK41" i="5"/>
  <c r="CF41" i="5"/>
  <c r="BH28" i="5"/>
  <c r="CI28" i="5"/>
  <c r="AV41" i="5"/>
  <c r="BO41" i="5" s="1"/>
  <c r="BF47" i="5"/>
  <c r="CF47" i="5"/>
  <c r="CH12" i="5"/>
  <c r="BH33" i="5"/>
  <c r="BR33" i="5"/>
  <c r="CF9" i="5"/>
  <c r="BQ41" i="5"/>
  <c r="CG41" i="5"/>
  <c r="BK28" i="5"/>
  <c r="CA28" i="5"/>
  <c r="BH9" i="5"/>
  <c r="AY41" i="5"/>
  <c r="AV33" i="5"/>
  <c r="BO33" i="5" s="1"/>
  <c r="BH47" i="5"/>
  <c r="BL12" i="5"/>
  <c r="BX12" i="5"/>
  <c r="BE28" i="5"/>
  <c r="BJ33" i="5"/>
  <c r="BT33" i="5"/>
  <c r="CK9" i="5"/>
  <c r="BS41" i="5"/>
  <c r="CI41" i="5"/>
  <c r="BS28" i="5"/>
  <c r="CE28" i="5"/>
  <c r="BE47" i="5"/>
  <c r="BQ12" i="5"/>
  <c r="CC12" i="5"/>
  <c r="BG33" i="5"/>
  <c r="CD33" i="5"/>
  <c r="BX41" i="5"/>
  <c r="CE41" i="5"/>
  <c r="BU28" i="5"/>
  <c r="AY9" i="5"/>
  <c r="BI47" i="5"/>
  <c r="BH12" i="5"/>
  <c r="CG12" i="5"/>
  <c r="BK33" i="5"/>
  <c r="CI33" i="5"/>
  <c r="BJ41" i="5"/>
  <c r="BL41" i="5"/>
  <c r="BM28" i="5"/>
  <c r="BV28" i="5"/>
  <c r="BE33" i="5"/>
  <c r="BW33" i="5"/>
  <c r="CA33" i="5"/>
  <c r="BF41" i="5"/>
  <c r="BV41" i="5"/>
  <c r="CD41" i="5"/>
  <c r="BQ28" i="5"/>
  <c r="BR28" i="5"/>
  <c r="CC28" i="5"/>
  <c r="BM33" i="5"/>
  <c r="CF33" i="5"/>
  <c r="BA28" i="5"/>
  <c r="BP28" i="5" s="1"/>
  <c r="CB28" i="5" s="1"/>
  <c r="BI41" i="5"/>
  <c r="BP41" i="5"/>
  <c r="CC41" i="5"/>
  <c r="BJ28" i="5"/>
  <c r="CF28" i="5"/>
  <c r="BZ41" i="5"/>
  <c r="AU28" i="5"/>
  <c r="BN28" i="5" s="1"/>
  <c r="BD33" i="5"/>
  <c r="BV33" i="5"/>
  <c r="CG33" i="5"/>
  <c r="CE33" i="5"/>
  <c r="BH41" i="5"/>
  <c r="BU41" i="5"/>
  <c r="BW41" i="5"/>
  <c r="CD28" i="5"/>
  <c r="CK28" i="5"/>
  <c r="CD52" i="5"/>
  <c r="BU10" i="5"/>
  <c r="BZ18" i="5"/>
  <c r="CJ52" i="5"/>
  <c r="BJ10" i="5"/>
  <c r="AZ28" i="5"/>
  <c r="AY10" i="5"/>
  <c r="BQ52" i="5"/>
  <c r="BZ52" i="5"/>
  <c r="BX52" i="5"/>
  <c r="BI10" i="5"/>
  <c r="BS10" i="5"/>
  <c r="CK10" i="5"/>
  <c r="BG18" i="5"/>
  <c r="BQ18" i="5"/>
  <c r="CG18" i="5"/>
  <c r="BY18" i="5"/>
  <c r="AZ52" i="5"/>
  <c r="BI52" i="5"/>
  <c r="CG52" i="5"/>
  <c r="BY52" i="5"/>
  <c r="BK10" i="5"/>
  <c r="BP10" i="5"/>
  <c r="CI10" i="5"/>
  <c r="BD18" i="5"/>
  <c r="BU18" i="5"/>
  <c r="CD18" i="5"/>
  <c r="CC18" i="5"/>
  <c r="AV18" i="5"/>
  <c r="BC18" i="5" s="1"/>
  <c r="AV52" i="5"/>
  <c r="BO52" i="5" s="1"/>
  <c r="BL52" i="5"/>
  <c r="BS52" i="5"/>
  <c r="BA52" i="5"/>
  <c r="BP52" i="5" s="1"/>
  <c r="AV10" i="5"/>
  <c r="BO10" i="5" s="1"/>
  <c r="BD52" i="5"/>
  <c r="BU52" i="5"/>
  <c r="CI52" i="5"/>
  <c r="CH52" i="5"/>
  <c r="BD10" i="5"/>
  <c r="BR10" i="5"/>
  <c r="BY10" i="5"/>
  <c r="BF18" i="5"/>
  <c r="BL18" i="5"/>
  <c r="CF18" i="5"/>
  <c r="CE18" i="5"/>
  <c r="AZ10" i="5"/>
  <c r="BA18" i="5"/>
  <c r="BP18" i="5" s="1"/>
  <c r="BF52" i="5"/>
  <c r="BV52" i="5"/>
  <c r="CA52" i="5"/>
  <c r="AU18" i="5"/>
  <c r="BB18" i="5" s="1"/>
  <c r="BF10" i="5"/>
  <c r="BT10" i="5"/>
  <c r="CA10" i="5"/>
  <c r="BH18" i="5"/>
  <c r="BR18" i="5"/>
  <c r="CK18" i="5"/>
  <c r="CJ18" i="5"/>
  <c r="AY52" i="5"/>
  <c r="BH52" i="5"/>
  <c r="CF52" i="5"/>
  <c r="CC52" i="5"/>
  <c r="AZ18" i="5"/>
  <c r="AU10" i="5"/>
  <c r="BN10" i="5" s="1"/>
  <c r="BH10" i="5"/>
  <c r="BV10" i="5"/>
  <c r="CC10" i="5"/>
  <c r="BJ18" i="5"/>
  <c r="BT18" i="5"/>
  <c r="BW18" i="5"/>
  <c r="AS69" i="5"/>
  <c r="AS70" i="5" s="1"/>
  <c r="BG52" i="5"/>
  <c r="AU52" i="5"/>
  <c r="BB52" i="5" s="1"/>
  <c r="BJ52" i="5"/>
  <c r="BR52" i="5"/>
  <c r="CE52" i="5"/>
  <c r="BP46" i="5"/>
  <c r="BX46" i="5" s="1"/>
  <c r="BE10" i="5"/>
  <c r="BM10" i="5"/>
  <c r="CD10" i="5"/>
  <c r="CE10" i="5"/>
  <c r="BK18" i="5"/>
  <c r="BV18" i="5"/>
  <c r="CH18" i="5"/>
  <c r="BK52" i="5"/>
  <c r="BT52" i="5"/>
  <c r="CK52" i="5"/>
  <c r="BG10" i="5"/>
  <c r="BQ10" i="5"/>
  <c r="CF10" i="5"/>
  <c r="BE18" i="5"/>
  <c r="BM18" i="5"/>
  <c r="BX18" i="5"/>
  <c r="BG36" i="5"/>
  <c r="AV31" i="5"/>
  <c r="BC31" i="5" s="1"/>
  <c r="AZ36" i="5"/>
  <c r="BI25" i="5"/>
  <c r="I11" i="13"/>
  <c r="I39" i="13" s="1"/>
  <c r="AB39" i="13" s="1"/>
  <c r="G16" i="10"/>
  <c r="AS67" i="5"/>
  <c r="AS68" i="5" s="1"/>
  <c r="BE9" i="5"/>
  <c r="AU70" i="5"/>
  <c r="AT70" i="5"/>
  <c r="G11" i="13"/>
  <c r="E16" i="10"/>
  <c r="F75" i="13"/>
  <c r="F80" i="13" s="1"/>
  <c r="BV42" i="5"/>
  <c r="BA23" i="5"/>
  <c r="BP23" i="5" s="1"/>
  <c r="BY42" i="5"/>
  <c r="BU23" i="5"/>
  <c r="CE42" i="5"/>
  <c r="BJ42" i="5"/>
  <c r="BV23" i="5"/>
  <c r="BK23" i="5"/>
  <c r="CK42" i="5"/>
  <c r="CF23" i="5"/>
  <c r="BR4" i="5"/>
  <c r="CK23" i="5"/>
  <c r="BS50" i="5"/>
  <c r="AU44" i="5"/>
  <c r="BN44" i="5" s="1"/>
  <c r="BK17" i="5"/>
  <c r="BV17" i="5"/>
  <c r="BY17" i="5"/>
  <c r="BK25" i="5"/>
  <c r="BN25" i="5"/>
  <c r="BW25" i="5"/>
  <c r="AZ20" i="5"/>
  <c r="BD17" i="5"/>
  <c r="CB17" i="5" s="1"/>
  <c r="BM17" i="5"/>
  <c r="CF17" i="5"/>
  <c r="BD25" i="5"/>
  <c r="BM25" i="5"/>
  <c r="CD25" i="5"/>
  <c r="CC25" i="5"/>
  <c r="BE44" i="5"/>
  <c r="AZ44" i="5"/>
  <c r="BF17" i="5"/>
  <c r="BQ17" i="5"/>
  <c r="CK17" i="5"/>
  <c r="BF25" i="5"/>
  <c r="BQ25" i="5"/>
  <c r="CF25" i="5"/>
  <c r="CE25" i="5"/>
  <c r="BD20" i="5"/>
  <c r="CB20" i="5" s="1"/>
  <c r="BU20" i="5"/>
  <c r="BY20" i="5"/>
  <c r="BJ44" i="5"/>
  <c r="BW44" i="5"/>
  <c r="BH17" i="5"/>
  <c r="BS17" i="5"/>
  <c r="BW17" i="5"/>
  <c r="BH25" i="5"/>
  <c r="BS25" i="5"/>
  <c r="CG25" i="5"/>
  <c r="BJ17" i="5"/>
  <c r="BU17" i="5"/>
  <c r="CI17" i="5"/>
  <c r="BJ25" i="5"/>
  <c r="BU25" i="5"/>
  <c r="CK25" i="5"/>
  <c r="AZ4" i="5"/>
  <c r="CF4" i="5"/>
  <c r="CC4" i="5"/>
  <c r="BT15" i="5"/>
  <c r="BW15" i="5"/>
  <c r="BF39" i="5"/>
  <c r="BG4" i="5"/>
  <c r="CI15" i="5"/>
  <c r="BV15" i="5"/>
  <c r="BR39" i="5"/>
  <c r="AU39" i="5"/>
  <c r="BB39" i="5" s="1"/>
  <c r="BY15" i="5"/>
  <c r="BK39" i="5"/>
  <c r="CD39" i="5"/>
  <c r="AU23" i="5"/>
  <c r="BN23" i="5" s="1"/>
  <c r="BE23" i="5"/>
  <c r="BW23" i="5"/>
  <c r="BE42" i="5"/>
  <c r="CD42" i="5"/>
  <c r="AY50" i="5"/>
  <c r="AV50" i="5"/>
  <c r="BC50" i="5" s="1"/>
  <c r="BE50" i="5"/>
  <c r="BY50" i="5"/>
  <c r="AU42" i="5"/>
  <c r="BB42" i="5" s="1"/>
  <c r="BD23" i="5"/>
  <c r="BQ42" i="5"/>
  <c r="BH23" i="5"/>
  <c r="BI23" i="5"/>
  <c r="CA23" i="5"/>
  <c r="BI42" i="5"/>
  <c r="BU42" i="5"/>
  <c r="BW42" i="5"/>
  <c r="AV42" i="5"/>
  <c r="BO42" i="5" s="1"/>
  <c r="BG50" i="5"/>
  <c r="CD50" i="5"/>
  <c r="AZ50" i="5"/>
  <c r="AY23" i="5"/>
  <c r="BF23" i="5"/>
  <c r="BG23" i="5"/>
  <c r="BY23" i="5"/>
  <c r="BG42" i="5"/>
  <c r="BS42" i="5"/>
  <c r="CF42" i="5"/>
  <c r="BJ23" i="5"/>
  <c r="BM23" i="5"/>
  <c r="CC23" i="5"/>
  <c r="BK42" i="5"/>
  <c r="BM42" i="5"/>
  <c r="CI42" i="5"/>
  <c r="BJ50" i="5"/>
  <c r="CC50" i="5"/>
  <c r="BV50" i="5"/>
  <c r="CI23" i="5"/>
  <c r="BQ23" i="5"/>
  <c r="CE23" i="5"/>
  <c r="BD42" i="5"/>
  <c r="BR42" i="5"/>
  <c r="CA42" i="5"/>
  <c r="BK50" i="5"/>
  <c r="CE50" i="5"/>
  <c r="AZ23" i="5"/>
  <c r="BR23" i="5"/>
  <c r="BS23" i="5"/>
  <c r="CD23" i="5"/>
  <c r="BF42" i="5"/>
  <c r="BT42" i="5"/>
  <c r="CC42" i="5"/>
  <c r="BQ50" i="5"/>
  <c r="CK50" i="5"/>
  <c r="BP30" i="5"/>
  <c r="BX30" i="5" s="1"/>
  <c r="BB20" i="5"/>
  <c r="BI50" i="5"/>
  <c r="BU50" i="5"/>
  <c r="CF50" i="5"/>
  <c r="BD50" i="5"/>
  <c r="BM50" i="5"/>
  <c r="BW50" i="5"/>
  <c r="AV23" i="5"/>
  <c r="BF50" i="5"/>
  <c r="BP50" i="5"/>
  <c r="CI50" i="5"/>
  <c r="BH50" i="5"/>
  <c r="BR50" i="5"/>
  <c r="CA50" i="5"/>
  <c r="AZ42" i="5"/>
  <c r="AU50" i="5"/>
  <c r="BB50" i="5" s="1"/>
  <c r="BA42" i="5"/>
  <c r="BP42" i="5" s="1"/>
  <c r="BP53" i="5"/>
  <c r="BD39" i="5"/>
  <c r="BI39" i="5"/>
  <c r="BV39" i="5"/>
  <c r="BZ39" i="5"/>
  <c r="BK4" i="5"/>
  <c r="AU4" i="5"/>
  <c r="BN4" i="5" s="1"/>
  <c r="BF9" i="5"/>
  <c r="BQ9" i="5"/>
  <c r="CD9" i="5"/>
  <c r="CE9" i="5"/>
  <c r="BQ4" i="5"/>
  <c r="BY4" i="5"/>
  <c r="CA4" i="5"/>
  <c r="AY47" i="5"/>
  <c r="AZ12" i="5"/>
  <c r="CA15" i="5"/>
  <c r="BT39" i="5"/>
  <c r="CF39" i="5"/>
  <c r="BT4" i="5"/>
  <c r="BH39" i="5"/>
  <c r="BE12" i="5"/>
  <c r="AV9" i="5"/>
  <c r="BC9" i="5" s="1"/>
  <c r="BJ47" i="5"/>
  <c r="BT47" i="5"/>
  <c r="CA47" i="5"/>
  <c r="BJ39" i="5"/>
  <c r="BW39" i="5"/>
  <c r="CI39" i="5"/>
  <c r="CG39" i="5"/>
  <c r="BY12" i="5"/>
  <c r="BU12" i="5"/>
  <c r="CJ12" i="5"/>
  <c r="BG12" i="5"/>
  <c r="AV47" i="5"/>
  <c r="BC47" i="5" s="1"/>
  <c r="BG9" i="5"/>
  <c r="BV9" i="5"/>
  <c r="BW9" i="5"/>
  <c r="BF4" i="5"/>
  <c r="CD4" i="5"/>
  <c r="BV4" i="5"/>
  <c r="BL39" i="5"/>
  <c r="BD4" i="5"/>
  <c r="CE4" i="5"/>
  <c r="BQ15" i="5"/>
  <c r="CE15" i="5"/>
  <c r="BY47" i="5"/>
  <c r="BW47" i="5"/>
  <c r="CC47" i="5"/>
  <c r="BA4" i="5"/>
  <c r="BP4" i="5" s="1"/>
  <c r="BA39" i="5"/>
  <c r="BP39" i="5" s="1"/>
  <c r="BO39" i="5"/>
  <c r="CC39" i="5"/>
  <c r="BM12" i="5"/>
  <c r="CF12" i="5"/>
  <c r="CK12" i="5"/>
  <c r="BI9" i="5"/>
  <c r="CI9" i="5"/>
  <c r="BH4" i="5"/>
  <c r="BJ4" i="5"/>
  <c r="AY15" i="5"/>
  <c r="AU9" i="5"/>
  <c r="BB9" i="5" s="1"/>
  <c r="BR15" i="5"/>
  <c r="CC15" i="5"/>
  <c r="BD15" i="5"/>
  <c r="BE15" i="5"/>
  <c r="BS15" i="5"/>
  <c r="CD15" i="5"/>
  <c r="AV12" i="5"/>
  <c r="BC12" i="5" s="1"/>
  <c r="BM47" i="5"/>
  <c r="BQ47" i="5"/>
  <c r="CE47" i="5"/>
  <c r="BC39" i="5"/>
  <c r="BQ39" i="5"/>
  <c r="CE39" i="5"/>
  <c r="BZ12" i="5"/>
  <c r="CD12" i="5"/>
  <c r="BW12" i="5"/>
  <c r="AY4" i="5"/>
  <c r="BI12" i="5"/>
  <c r="AU15" i="5"/>
  <c r="BB15" i="5" s="1"/>
  <c r="BF15" i="5"/>
  <c r="BU15" i="5"/>
  <c r="BR47" i="5"/>
  <c r="BS47" i="5"/>
  <c r="CK47" i="5"/>
  <c r="BE39" i="5"/>
  <c r="BS39" i="5"/>
  <c r="CJ39" i="5"/>
  <c r="BD12" i="5"/>
  <c r="BR12" i="5"/>
  <c r="CI12" i="5"/>
  <c r="AV15" i="5"/>
  <c r="BO15" i="5" s="1"/>
  <c r="BK9" i="5"/>
  <c r="BR9" i="5"/>
  <c r="CA9" i="5"/>
  <c r="BS4" i="5"/>
  <c r="BW4" i="5"/>
  <c r="AZ9" i="5"/>
  <c r="BM15" i="5"/>
  <c r="BE4" i="5"/>
  <c r="BA15" i="5"/>
  <c r="BP15" i="5" s="1"/>
  <c r="BJ9" i="5"/>
  <c r="BP9" i="5"/>
  <c r="BY9" i="5"/>
  <c r="BM4" i="5"/>
  <c r="CK4" i="5"/>
  <c r="BG15" i="5"/>
  <c r="CF15" i="5"/>
  <c r="BA12" i="5"/>
  <c r="BP12" i="5" s="1"/>
  <c r="AU47" i="5"/>
  <c r="BB47" i="5" s="1"/>
  <c r="BH15" i="5"/>
  <c r="BI15" i="5"/>
  <c r="BK15" i="5"/>
  <c r="CK15" i="5"/>
  <c r="BA47" i="5"/>
  <c r="BP47" i="5" s="1"/>
  <c r="BU47" i="5"/>
  <c r="CD47" i="5"/>
  <c r="AZ39" i="5"/>
  <c r="BG39" i="5"/>
  <c r="BU39" i="5"/>
  <c r="BX39" i="5"/>
  <c r="BF12" i="5"/>
  <c r="BT12" i="5"/>
  <c r="CA12" i="5"/>
  <c r="AU12" i="5"/>
  <c r="BN12" i="5" s="1"/>
  <c r="BD9" i="5"/>
  <c r="BM9" i="5"/>
  <c r="BT9" i="5"/>
  <c r="CC9" i="5"/>
  <c r="AV4" i="5"/>
  <c r="BC4" i="5" s="1"/>
  <c r="BU4" i="5"/>
  <c r="CI4" i="5"/>
  <c r="AY39" i="5"/>
  <c r="BP14" i="5"/>
  <c r="BT7" i="5"/>
  <c r="BM7" i="5"/>
  <c r="CC7" i="5"/>
  <c r="BD34" i="5"/>
  <c r="BR34" i="5"/>
  <c r="BY34" i="5"/>
  <c r="BE26" i="5"/>
  <c r="BM26" i="5"/>
  <c r="BZ26" i="5"/>
  <c r="CI26" i="5"/>
  <c r="I11" i="12"/>
  <c r="I39" i="12" s="1"/>
  <c r="AB39" i="12" s="1"/>
  <c r="AV34" i="5"/>
  <c r="BO34" i="5" s="1"/>
  <c r="BA7" i="5"/>
  <c r="BP7" i="5" s="1"/>
  <c r="BQ7" i="5"/>
  <c r="CE7" i="5"/>
  <c r="BF34" i="5"/>
  <c r="BT34" i="5"/>
  <c r="CA34" i="5"/>
  <c r="BG26" i="5"/>
  <c r="BQ26" i="5"/>
  <c r="CD26" i="5"/>
  <c r="BY26" i="5"/>
  <c r="E5" i="10"/>
  <c r="H5" i="10" s="1"/>
  <c r="AZ26" i="5"/>
  <c r="BI26" i="5"/>
  <c r="BS26" i="5"/>
  <c r="CF26" i="5"/>
  <c r="CA26" i="5"/>
  <c r="BG7" i="5"/>
  <c r="BU7" i="5"/>
  <c r="CF7" i="5"/>
  <c r="BJ34" i="5"/>
  <c r="CD34" i="5"/>
  <c r="CE34" i="5"/>
  <c r="BL26" i="5"/>
  <c r="BU26" i="5"/>
  <c r="CJ26" i="5"/>
  <c r="CC26" i="5"/>
  <c r="AY7" i="5"/>
  <c r="BA34" i="5"/>
  <c r="BP34" i="5" s="1"/>
  <c r="AV26" i="5"/>
  <c r="BO26" i="5" s="1"/>
  <c r="BV34" i="5"/>
  <c r="AY26" i="5"/>
  <c r="BD26" i="5"/>
  <c r="BR26" i="5"/>
  <c r="CG26" i="5"/>
  <c r="CE26" i="5"/>
  <c r="BJ7" i="5"/>
  <c r="BI7" i="5"/>
  <c r="BV7" i="5"/>
  <c r="CK7" i="5"/>
  <c r="BA26" i="5"/>
  <c r="BP26" i="5" s="1"/>
  <c r="CB26" i="5" s="1"/>
  <c r="BE34" i="5"/>
  <c r="BM34" i="5"/>
  <c r="CF34" i="5"/>
  <c r="AY34" i="5"/>
  <c r="BD7" i="5"/>
  <c r="BR7" i="5"/>
  <c r="BK7" i="5"/>
  <c r="BG34" i="5"/>
  <c r="BQ34" i="5"/>
  <c r="CK34" i="5"/>
  <c r="AV7" i="5"/>
  <c r="BO7" i="5" s="1"/>
  <c r="BN17" i="5"/>
  <c r="BZ17" i="5" s="1"/>
  <c r="BK26" i="5"/>
  <c r="AU34" i="5"/>
  <c r="BN34" i="5" s="1"/>
  <c r="BF26" i="5"/>
  <c r="BT26" i="5"/>
  <c r="CK26" i="5"/>
  <c r="BE7" i="5"/>
  <c r="BS7" i="5"/>
  <c r="CD7" i="5"/>
  <c r="BH34" i="5"/>
  <c r="CC34" i="5"/>
  <c r="BF7" i="5"/>
  <c r="BW7" i="5"/>
  <c r="BY7" i="5"/>
  <c r="BI34" i="5"/>
  <c r="BS34" i="5"/>
  <c r="BW34" i="5"/>
  <c r="BP38" i="5"/>
  <c r="BX38" i="5" s="1"/>
  <c r="AU26" i="5"/>
  <c r="BN26" i="5" s="1"/>
  <c r="BH26" i="5"/>
  <c r="BV26" i="5"/>
  <c r="BB14" i="5"/>
  <c r="BP13" i="5"/>
  <c r="BX13" i="5" s="1"/>
  <c r="AX58" i="5"/>
  <c r="AX59" i="5" s="1"/>
  <c r="AX56" i="5"/>
  <c r="AX57" i="5" s="1"/>
  <c r="AT56" i="5"/>
  <c r="AT57" i="5" s="1"/>
  <c r="AS56" i="5"/>
  <c r="AS57" i="5" s="1"/>
  <c r="AS58" i="5"/>
  <c r="AS59" i="5" s="1"/>
  <c r="AT58" i="5"/>
  <c r="AT59" i="5" s="1"/>
  <c r="AB11" i="12"/>
  <c r="AA11" i="12"/>
  <c r="G39" i="12"/>
  <c r="F67" i="12"/>
  <c r="CB41" i="5"/>
  <c r="BB37" i="5"/>
  <c r="BN49" i="5"/>
  <c r="BZ49" i="5" s="1"/>
  <c r="CB36" i="5"/>
  <c r="BB53" i="5"/>
  <c r="BB21" i="5"/>
  <c r="BZ21" i="5" s="1"/>
  <c r="BN29" i="5"/>
  <c r="BZ29" i="5" s="1"/>
  <c r="BN22" i="5"/>
  <c r="BB38" i="5"/>
  <c r="BZ38" i="5" s="1"/>
  <c r="BD13" i="5"/>
  <c r="BL13" i="5" s="1"/>
  <c r="BO13" i="5"/>
  <c r="BO45" i="5"/>
  <c r="BO53" i="5"/>
  <c r="BO6" i="5"/>
  <c r="BO38" i="5"/>
  <c r="BO49" i="5"/>
  <c r="CI16" i="5"/>
  <c r="BW16" i="5"/>
  <c r="CK16" i="5"/>
  <c r="CH16" i="5"/>
  <c r="CF16" i="5"/>
  <c r="CD16" i="5"/>
  <c r="BZ16" i="5"/>
  <c r="CG16" i="5"/>
  <c r="BX16" i="5"/>
  <c r="CA16" i="5"/>
  <c r="BV16" i="5"/>
  <c r="BL16" i="5"/>
  <c r="CJ16" i="5"/>
  <c r="BK16" i="5"/>
  <c r="CC16" i="5"/>
  <c r="BU16" i="5"/>
  <c r="BS16" i="5"/>
  <c r="BQ16" i="5"/>
  <c r="BM16" i="5"/>
  <c r="BY16" i="5"/>
  <c r="BT16" i="5"/>
  <c r="BI16" i="5"/>
  <c r="BG16" i="5"/>
  <c r="BE16" i="5"/>
  <c r="BA16" i="5"/>
  <c r="BP16" i="5" s="1"/>
  <c r="BR16" i="5"/>
  <c r="CE16" i="5"/>
  <c r="BD16" i="5"/>
  <c r="BJ16" i="5"/>
  <c r="AU16" i="5"/>
  <c r="BB16" i="5" s="1"/>
  <c r="BF16" i="5"/>
  <c r="AZ16" i="5"/>
  <c r="AV16" i="5"/>
  <c r="BC16" i="5" s="1"/>
  <c r="BH16" i="5"/>
  <c r="AY16" i="5"/>
  <c r="CE35" i="5"/>
  <c r="CC35" i="5"/>
  <c r="CA35" i="5"/>
  <c r="BY35" i="5"/>
  <c r="CI35" i="5"/>
  <c r="CK35" i="5"/>
  <c r="CF35" i="5"/>
  <c r="CD35" i="5"/>
  <c r="BT35" i="5"/>
  <c r="BR35" i="5"/>
  <c r="CG35" i="5"/>
  <c r="BW35" i="5"/>
  <c r="BV35" i="5"/>
  <c r="BM35" i="5"/>
  <c r="BU35" i="5"/>
  <c r="BJ35" i="5"/>
  <c r="BH35" i="5"/>
  <c r="BF35" i="5"/>
  <c r="BD35" i="5"/>
  <c r="BQ35" i="5"/>
  <c r="BK35" i="5"/>
  <c r="BI35" i="5"/>
  <c r="BG35" i="5"/>
  <c r="BE35" i="5"/>
  <c r="BS35" i="5"/>
  <c r="AV35" i="5"/>
  <c r="BC35" i="5" s="1"/>
  <c r="BA35" i="5"/>
  <c r="BP35" i="5" s="1"/>
  <c r="CB35" i="5" s="1"/>
  <c r="AY35" i="5"/>
  <c r="AU35" i="5"/>
  <c r="BN35" i="5" s="1"/>
  <c r="AZ35" i="5"/>
  <c r="BD46" i="5"/>
  <c r="CF2" i="5"/>
  <c r="CD2" i="5"/>
  <c r="BY2" i="5"/>
  <c r="BV2" i="5"/>
  <c r="CK2" i="5"/>
  <c r="CE2" i="5"/>
  <c r="CC2" i="5"/>
  <c r="CA2" i="5"/>
  <c r="CI2" i="5"/>
  <c r="BW2" i="5"/>
  <c r="BU2" i="5"/>
  <c r="BS2" i="5"/>
  <c r="BQ2" i="5"/>
  <c r="BT2" i="5"/>
  <c r="BR2" i="5"/>
  <c r="BI2" i="5"/>
  <c r="BG2" i="5"/>
  <c r="BE2" i="5"/>
  <c r="BK2" i="5"/>
  <c r="BJ2" i="5"/>
  <c r="BH2" i="5"/>
  <c r="BF2" i="5"/>
  <c r="BD2" i="5"/>
  <c r="BA2" i="5"/>
  <c r="AZ2" i="5"/>
  <c r="AV2" i="5"/>
  <c r="BM2" i="5"/>
  <c r="AY2" i="5"/>
  <c r="AU2" i="5"/>
  <c r="CB49" i="5"/>
  <c r="BN39" i="5"/>
  <c r="CI24" i="5"/>
  <c r="BW24" i="5"/>
  <c r="CK24" i="5"/>
  <c r="CG24" i="5"/>
  <c r="BX24" i="5"/>
  <c r="CJ24" i="5"/>
  <c r="CF24" i="5"/>
  <c r="CD24" i="5"/>
  <c r="BZ24" i="5"/>
  <c r="CH24" i="5"/>
  <c r="CA24" i="5"/>
  <c r="BY24" i="5"/>
  <c r="BK24" i="5"/>
  <c r="BU24" i="5"/>
  <c r="BS24" i="5"/>
  <c r="BQ24" i="5"/>
  <c r="BM24" i="5"/>
  <c r="CC24" i="5"/>
  <c r="BL24" i="5"/>
  <c r="CE24" i="5"/>
  <c r="BV24" i="5"/>
  <c r="BT24" i="5"/>
  <c r="BI24" i="5"/>
  <c r="BG24" i="5"/>
  <c r="BE24" i="5"/>
  <c r="BA24" i="5"/>
  <c r="BP24" i="5" s="1"/>
  <c r="BR24" i="5"/>
  <c r="BD24" i="5"/>
  <c r="BJ24" i="5"/>
  <c r="AZ24" i="5"/>
  <c r="AV24" i="5"/>
  <c r="BC24" i="5" s="1"/>
  <c r="BF24" i="5"/>
  <c r="AU24" i="5"/>
  <c r="BB24" i="5" s="1"/>
  <c r="BH24" i="5"/>
  <c r="AY24" i="5"/>
  <c r="BL25" i="5"/>
  <c r="BO28" i="5"/>
  <c r="BC10" i="5"/>
  <c r="CK43" i="5"/>
  <c r="CE43" i="5"/>
  <c r="CC43" i="5"/>
  <c r="CA43" i="5"/>
  <c r="CI43" i="5"/>
  <c r="CF43" i="5"/>
  <c r="CD43" i="5"/>
  <c r="BW43" i="5"/>
  <c r="BT43" i="5"/>
  <c r="BR43" i="5"/>
  <c r="BM43" i="5"/>
  <c r="BY43" i="5"/>
  <c r="BV43" i="5"/>
  <c r="BJ43" i="5"/>
  <c r="BH43" i="5"/>
  <c r="BF43" i="5"/>
  <c r="BD43" i="5"/>
  <c r="BU43" i="5"/>
  <c r="BK43" i="5"/>
  <c r="BI43" i="5"/>
  <c r="BG43" i="5"/>
  <c r="BE43" i="5"/>
  <c r="BS43" i="5"/>
  <c r="AV43" i="5"/>
  <c r="BO43" i="5" s="1"/>
  <c r="AY43" i="5"/>
  <c r="BQ43" i="5"/>
  <c r="AU43" i="5"/>
  <c r="BB43" i="5" s="1"/>
  <c r="AZ43" i="5"/>
  <c r="BA43" i="5"/>
  <c r="BP43" i="5" s="1"/>
  <c r="BN5" i="5"/>
  <c r="BZ5" i="5" s="1"/>
  <c r="BB13" i="5"/>
  <c r="BZ13" i="5" s="1"/>
  <c r="BO29" i="5"/>
  <c r="BM37" i="5"/>
  <c r="BB45" i="5"/>
  <c r="BZ45" i="5" s="1"/>
  <c r="BP22" i="5"/>
  <c r="CB22" i="5" s="1"/>
  <c r="BC14" i="5"/>
  <c r="BC30" i="5"/>
  <c r="BN46" i="5"/>
  <c r="BZ46" i="5" s="1"/>
  <c r="CI32" i="5"/>
  <c r="BW32" i="5"/>
  <c r="CK32" i="5"/>
  <c r="CF32" i="5"/>
  <c r="CD32" i="5"/>
  <c r="CE32" i="5"/>
  <c r="CA32" i="5"/>
  <c r="BK32" i="5"/>
  <c r="BY32" i="5"/>
  <c r="BU32" i="5"/>
  <c r="BS32" i="5"/>
  <c r="BQ32" i="5"/>
  <c r="BM32" i="5"/>
  <c r="CC32" i="5"/>
  <c r="BV32" i="5"/>
  <c r="BT32" i="5"/>
  <c r="BI32" i="5"/>
  <c r="BG32" i="5"/>
  <c r="BE32" i="5"/>
  <c r="BA32" i="5"/>
  <c r="BP32" i="5" s="1"/>
  <c r="BR32" i="5"/>
  <c r="BH32" i="5"/>
  <c r="BD32" i="5"/>
  <c r="BJ32" i="5"/>
  <c r="AZ32" i="5"/>
  <c r="AV32" i="5"/>
  <c r="BO32" i="5" s="1"/>
  <c r="BF32" i="5"/>
  <c r="AY32" i="5"/>
  <c r="AU32" i="5"/>
  <c r="BN32" i="5" s="1"/>
  <c r="BC17" i="5"/>
  <c r="CJ51" i="5"/>
  <c r="CJ58" i="5" s="1"/>
  <c r="CJ59" i="5" s="1"/>
  <c r="BX51" i="5"/>
  <c r="CK51" i="5"/>
  <c r="CE51" i="5"/>
  <c r="CC51" i="5"/>
  <c r="CA51" i="5"/>
  <c r="CI51" i="5"/>
  <c r="CI58" i="5" s="1"/>
  <c r="CI59" i="5" s="1"/>
  <c r="CG51" i="5"/>
  <c r="CG58" i="5" s="1"/>
  <c r="CG59" i="5" s="1"/>
  <c r="CF51" i="5"/>
  <c r="CD51" i="5"/>
  <c r="CD58" i="5" s="1"/>
  <c r="CD59" i="5" s="1"/>
  <c r="BZ51" i="5"/>
  <c r="BZ58" i="5" s="1"/>
  <c r="BZ59" i="5" s="1"/>
  <c r="BT51" i="5"/>
  <c r="BR51" i="5"/>
  <c r="BR58" i="5" s="1"/>
  <c r="BR59" i="5" s="1"/>
  <c r="BL51" i="5"/>
  <c r="CH51" i="5"/>
  <c r="BV51" i="5"/>
  <c r="BW51" i="5"/>
  <c r="BW58" i="5" s="1"/>
  <c r="BW59" i="5" s="1"/>
  <c r="BY51" i="5"/>
  <c r="BS51" i="5"/>
  <c r="BS58" i="5" s="1"/>
  <c r="BS59" i="5" s="1"/>
  <c r="BQ51" i="5"/>
  <c r="BK51" i="5"/>
  <c r="BK58" i="5" s="1"/>
  <c r="BK59" i="5" s="1"/>
  <c r="BJ51" i="5"/>
  <c r="BH51" i="5"/>
  <c r="BH58" i="5" s="1"/>
  <c r="BH59" i="5" s="1"/>
  <c r="BF51" i="5"/>
  <c r="BF58" i="5" s="1"/>
  <c r="BF59" i="5" s="1"/>
  <c r="BD51" i="5"/>
  <c r="BU51" i="5"/>
  <c r="BM51" i="5"/>
  <c r="BM58" i="5" s="1"/>
  <c r="BM59" i="5" s="1"/>
  <c r="BI51" i="5"/>
  <c r="BG51" i="5"/>
  <c r="BG58" i="5" s="1"/>
  <c r="BG59" i="5" s="1"/>
  <c r="BE51" i="5"/>
  <c r="BE58" i="5" s="1"/>
  <c r="BE59" i="5" s="1"/>
  <c r="AV51" i="5"/>
  <c r="AY51" i="5"/>
  <c r="AY58" i="5" s="1"/>
  <c r="AY59" i="5" s="1"/>
  <c r="AU51" i="5"/>
  <c r="BA51" i="5"/>
  <c r="AZ51" i="5"/>
  <c r="BP5" i="5"/>
  <c r="CB5" i="5" s="1"/>
  <c r="BL21" i="5"/>
  <c r="BP21" i="5"/>
  <c r="CB21" i="5" s="1"/>
  <c r="BP37" i="5"/>
  <c r="CB37" i="5" s="1"/>
  <c r="BD53" i="5"/>
  <c r="BD6" i="5"/>
  <c r="BL6" i="5" s="1"/>
  <c r="BN6" i="5"/>
  <c r="BZ6" i="5" s="1"/>
  <c r="BN31" i="5"/>
  <c r="BZ31" i="5" s="1"/>
  <c r="CI40" i="5"/>
  <c r="BW40" i="5"/>
  <c r="CF40" i="5"/>
  <c r="CD40" i="5"/>
  <c r="BY40" i="5"/>
  <c r="CK40" i="5"/>
  <c r="CE40" i="5"/>
  <c r="BM40" i="5"/>
  <c r="BK40" i="5"/>
  <c r="CA40" i="5"/>
  <c r="BV40" i="5"/>
  <c r="BU40" i="5"/>
  <c r="BS40" i="5"/>
  <c r="BQ40" i="5"/>
  <c r="BT40" i="5"/>
  <c r="CC40" i="5"/>
  <c r="BR40" i="5"/>
  <c r="BI40" i="5"/>
  <c r="BG40" i="5"/>
  <c r="BE40" i="5"/>
  <c r="BA40" i="5"/>
  <c r="BP40" i="5" s="1"/>
  <c r="AU40" i="5"/>
  <c r="BN40" i="5" s="1"/>
  <c r="BH40" i="5"/>
  <c r="BD40" i="5"/>
  <c r="AZ40" i="5"/>
  <c r="AV40" i="5"/>
  <c r="BC40" i="5" s="1"/>
  <c r="BJ40" i="5"/>
  <c r="BF40" i="5"/>
  <c r="AY40" i="5"/>
  <c r="BO25" i="5"/>
  <c r="BC33" i="5"/>
  <c r="BC5" i="5"/>
  <c r="BL5" i="5"/>
  <c r="BC41" i="5"/>
  <c r="CA41" i="5" s="1"/>
  <c r="BN7" i="5"/>
  <c r="BZ7" i="5" s="1"/>
  <c r="CI48" i="5"/>
  <c r="BW48" i="5"/>
  <c r="CF48" i="5"/>
  <c r="CD48" i="5"/>
  <c r="BY48" i="5"/>
  <c r="CK48" i="5"/>
  <c r="BM48" i="5"/>
  <c r="BV48" i="5"/>
  <c r="CE48" i="5"/>
  <c r="BK48" i="5"/>
  <c r="BU48" i="5"/>
  <c r="BS48" i="5"/>
  <c r="BQ48" i="5"/>
  <c r="CA48" i="5"/>
  <c r="CC48" i="5"/>
  <c r="BT48" i="5"/>
  <c r="BI48" i="5"/>
  <c r="BG48" i="5"/>
  <c r="BE48" i="5"/>
  <c r="BA48" i="5"/>
  <c r="BP48" i="5" s="1"/>
  <c r="BR48" i="5"/>
  <c r="BH48" i="5"/>
  <c r="AU48" i="5"/>
  <c r="BB48" i="5" s="1"/>
  <c r="AZ48" i="5"/>
  <c r="AV48" i="5"/>
  <c r="BC48" i="5" s="1"/>
  <c r="BD48" i="5"/>
  <c r="BJ48" i="5"/>
  <c r="BF48" i="5"/>
  <c r="AY48" i="5"/>
  <c r="CE3" i="5"/>
  <c r="CC3" i="5"/>
  <c r="CA3" i="5"/>
  <c r="BY3" i="5"/>
  <c r="CI3" i="5"/>
  <c r="CK3" i="5"/>
  <c r="CF3" i="5"/>
  <c r="CD3" i="5"/>
  <c r="BV3" i="5"/>
  <c r="BJ3" i="5"/>
  <c r="BT3" i="5"/>
  <c r="BR3" i="5"/>
  <c r="BW3" i="5"/>
  <c r="BK3" i="5"/>
  <c r="BM3" i="5"/>
  <c r="BH3" i="5"/>
  <c r="BF3" i="5"/>
  <c r="BD3" i="5"/>
  <c r="AZ3" i="5"/>
  <c r="BS3" i="5"/>
  <c r="BQ3" i="5"/>
  <c r="BU3" i="5"/>
  <c r="BI3" i="5"/>
  <c r="BG3" i="5"/>
  <c r="BE3" i="5"/>
  <c r="AV3" i="5"/>
  <c r="BO3" i="5" s="1"/>
  <c r="BA3" i="5"/>
  <c r="BP3" i="5" s="1"/>
  <c r="AY3" i="5"/>
  <c r="AU3" i="5"/>
  <c r="BB3" i="5" s="1"/>
  <c r="BP29" i="5"/>
  <c r="CB29" i="5" s="1"/>
  <c r="BC22" i="5"/>
  <c r="BD30" i="5"/>
  <c r="CB30" i="5" s="1"/>
  <c r="BO44" i="5"/>
  <c r="BN18" i="5"/>
  <c r="CE11" i="5"/>
  <c r="CC11" i="5"/>
  <c r="CA11" i="5"/>
  <c r="BY11" i="5"/>
  <c r="CI11" i="5"/>
  <c r="CK11" i="5"/>
  <c r="CF11" i="5"/>
  <c r="CD11" i="5"/>
  <c r="BJ11" i="5"/>
  <c r="BT11" i="5"/>
  <c r="BR11" i="5"/>
  <c r="BV11" i="5"/>
  <c r="BH11" i="5"/>
  <c r="BF11" i="5"/>
  <c r="BD11" i="5"/>
  <c r="AZ11" i="5"/>
  <c r="BM11" i="5"/>
  <c r="BS11" i="5"/>
  <c r="BK11" i="5"/>
  <c r="BI11" i="5"/>
  <c r="BG11" i="5"/>
  <c r="BE11" i="5"/>
  <c r="AV11" i="5"/>
  <c r="BO11" i="5" s="1"/>
  <c r="BQ11" i="5"/>
  <c r="AY11" i="5"/>
  <c r="AU11" i="5"/>
  <c r="BB11" i="5" s="1"/>
  <c r="BW11" i="5"/>
  <c r="BU11" i="5"/>
  <c r="BA11" i="5"/>
  <c r="BP11" i="5" s="1"/>
  <c r="BC21" i="5"/>
  <c r="BL29" i="5"/>
  <c r="BL45" i="5"/>
  <c r="BD38" i="5"/>
  <c r="BD14" i="5"/>
  <c r="BC46" i="5"/>
  <c r="CE19" i="5"/>
  <c r="CC19" i="5"/>
  <c r="CA19" i="5"/>
  <c r="BY19" i="5"/>
  <c r="CI19" i="5"/>
  <c r="CK19" i="5"/>
  <c r="CF19" i="5"/>
  <c r="CD19" i="5"/>
  <c r="BW19" i="5"/>
  <c r="BT19" i="5"/>
  <c r="BR19" i="5"/>
  <c r="BV19" i="5"/>
  <c r="BQ19" i="5"/>
  <c r="BK19" i="5"/>
  <c r="BJ19" i="5"/>
  <c r="BH19" i="5"/>
  <c r="BF19" i="5"/>
  <c r="BD19" i="5"/>
  <c r="BS19" i="5"/>
  <c r="BM19" i="5"/>
  <c r="BI19" i="5"/>
  <c r="BG19" i="5"/>
  <c r="BE19" i="5"/>
  <c r="BU19" i="5"/>
  <c r="AV19" i="5"/>
  <c r="BC19" i="5" s="1"/>
  <c r="AY19" i="5"/>
  <c r="AU19" i="5"/>
  <c r="BB19" i="5" s="1"/>
  <c r="BA19" i="5"/>
  <c r="BP19" i="5" s="1"/>
  <c r="AZ19" i="5"/>
  <c r="BC37" i="5"/>
  <c r="CA37" i="5" s="1"/>
  <c r="BP45" i="5"/>
  <c r="CB45" i="5" s="1"/>
  <c r="BN30" i="5"/>
  <c r="BZ30" i="5" s="1"/>
  <c r="CI8" i="5"/>
  <c r="BW8" i="5"/>
  <c r="CK8" i="5"/>
  <c r="CF8" i="5"/>
  <c r="CD8" i="5"/>
  <c r="CC8" i="5"/>
  <c r="BK8" i="5"/>
  <c r="BV8" i="5"/>
  <c r="BU8" i="5"/>
  <c r="BS8" i="5"/>
  <c r="BQ8" i="5"/>
  <c r="BM8" i="5"/>
  <c r="CE8" i="5"/>
  <c r="BY8" i="5"/>
  <c r="CA8" i="5"/>
  <c r="BT8" i="5"/>
  <c r="BR8" i="5"/>
  <c r="BJ8" i="5"/>
  <c r="BI8" i="5"/>
  <c r="BG8" i="5"/>
  <c r="BE8" i="5"/>
  <c r="BA8" i="5"/>
  <c r="BP8" i="5" s="1"/>
  <c r="AU8" i="5"/>
  <c r="BN8" i="5" s="1"/>
  <c r="BF8" i="5"/>
  <c r="AV8" i="5"/>
  <c r="BC8" i="5" s="1"/>
  <c r="AZ8" i="5"/>
  <c r="BH8" i="5"/>
  <c r="BD8" i="5"/>
  <c r="AY8" i="5"/>
  <c r="CE27" i="5"/>
  <c r="CC27" i="5"/>
  <c r="CA27" i="5"/>
  <c r="BY27" i="5"/>
  <c r="CI27" i="5"/>
  <c r="CK27" i="5"/>
  <c r="CG27" i="5"/>
  <c r="CF27" i="5"/>
  <c r="CD27" i="5"/>
  <c r="BV27" i="5"/>
  <c r="BW27" i="5"/>
  <c r="BT27" i="5"/>
  <c r="BR27" i="5"/>
  <c r="BU27" i="5"/>
  <c r="BJ27" i="5"/>
  <c r="BH27" i="5"/>
  <c r="BF27" i="5"/>
  <c r="BD27" i="5"/>
  <c r="BQ27" i="5"/>
  <c r="BS27" i="5"/>
  <c r="BI27" i="5"/>
  <c r="BG27" i="5"/>
  <c r="BE27" i="5"/>
  <c r="BK27" i="5"/>
  <c r="AV27" i="5"/>
  <c r="BO27" i="5" s="1"/>
  <c r="BM27" i="5"/>
  <c r="AY27" i="5"/>
  <c r="BA27" i="5"/>
  <c r="BP27" i="5" s="1"/>
  <c r="AU27" i="5"/>
  <c r="BN27" i="5" s="1"/>
  <c r="AZ27" i="5"/>
  <c r="C12" i="7"/>
  <c r="C13" i="7"/>
  <c r="C14" i="7"/>
  <c r="G63" i="13" l="1"/>
  <c r="I63" i="13" s="1"/>
  <c r="G63" i="12"/>
  <c r="I63" i="12" s="1"/>
  <c r="BB41" i="5"/>
  <c r="BC36" i="5"/>
  <c r="CK58" i="5"/>
  <c r="CK59" i="5" s="1"/>
  <c r="K17" i="10" s="1"/>
  <c r="CB18" i="5"/>
  <c r="CB10" i="5"/>
  <c r="CB33" i="5"/>
  <c r="BZ25" i="5"/>
  <c r="CB31" i="5"/>
  <c r="BO31" i="5"/>
  <c r="BL58" i="5"/>
  <c r="BL59" i="5" s="1"/>
  <c r="I10" i="13" s="1"/>
  <c r="BO20" i="5"/>
  <c r="BQ58" i="5"/>
  <c r="BQ59" i="5" s="1"/>
  <c r="CH58" i="5"/>
  <c r="CH59" i="5" s="1"/>
  <c r="CC58" i="5"/>
  <c r="CC59" i="5" s="1"/>
  <c r="BT58" i="5"/>
  <c r="BT59" i="5" s="1"/>
  <c r="CB47" i="5"/>
  <c r="CB52" i="5"/>
  <c r="BB28" i="5"/>
  <c r="BZ28" i="5" s="1"/>
  <c r="BX44" i="5"/>
  <c r="BX36" i="5"/>
  <c r="BX50" i="5"/>
  <c r="BX28" i="5"/>
  <c r="BL28" i="5"/>
  <c r="AZ58" i="5"/>
  <c r="AZ59" i="5" s="1"/>
  <c r="G12" i="13" s="1"/>
  <c r="BB36" i="5"/>
  <c r="BZ36" i="5" s="1"/>
  <c r="BX58" i="5"/>
  <c r="BX59" i="5" s="1"/>
  <c r="BN52" i="5"/>
  <c r="BV58" i="5"/>
  <c r="BV59" i="5" s="1"/>
  <c r="BL47" i="5"/>
  <c r="CB4" i="5"/>
  <c r="BX31" i="5"/>
  <c r="CA58" i="5"/>
  <c r="CA59" i="5" s="1"/>
  <c r="L12" i="13" s="1"/>
  <c r="BB33" i="5"/>
  <c r="BZ33" i="5" s="1"/>
  <c r="BI58" i="5"/>
  <c r="BI59" i="5" s="1"/>
  <c r="BJ58" i="5"/>
  <c r="BJ59" i="5" s="1"/>
  <c r="BM39" i="5"/>
  <c r="BX49" i="5"/>
  <c r="BX10" i="5"/>
  <c r="BX33" i="5"/>
  <c r="BM41" i="5"/>
  <c r="BM56" i="5" s="1"/>
  <c r="BM57" i="5" s="1"/>
  <c r="BL49" i="5"/>
  <c r="CB46" i="5"/>
  <c r="BO18" i="5"/>
  <c r="BL17" i="5"/>
  <c r="CF58" i="5"/>
  <c r="CF59" i="5" s="1"/>
  <c r="BL44" i="5"/>
  <c r="BL10" i="5"/>
  <c r="BY41" i="5"/>
  <c r="BL33" i="5"/>
  <c r="CB25" i="5"/>
  <c r="BL36" i="5"/>
  <c r="BL31" i="5"/>
  <c r="BB4" i="5"/>
  <c r="BZ4" i="5" s="1"/>
  <c r="BU58" i="5"/>
  <c r="BU59" i="5" s="1"/>
  <c r="BY58" i="5"/>
  <c r="BY59" i="5" s="1"/>
  <c r="BB23" i="5"/>
  <c r="BZ23" i="5" s="1"/>
  <c r="BX17" i="5"/>
  <c r="CB53" i="5"/>
  <c r="BN47" i="5"/>
  <c r="BZ47" i="5" s="1"/>
  <c r="BO12" i="5"/>
  <c r="BC52" i="5"/>
  <c r="BN50" i="5"/>
  <c r="BZ50" i="5" s="1"/>
  <c r="BN15" i="5"/>
  <c r="BZ15" i="5" s="1"/>
  <c r="CE58" i="5"/>
  <c r="CE59" i="5" s="1"/>
  <c r="BB10" i="5"/>
  <c r="BZ10" i="5" s="1"/>
  <c r="BN42" i="5"/>
  <c r="BZ42" i="5" s="1"/>
  <c r="CB23" i="5"/>
  <c r="H16" i="10"/>
  <c r="BB12" i="5"/>
  <c r="M10" i="13"/>
  <c r="K15" i="10"/>
  <c r="AB11" i="13"/>
  <c r="AB45" i="13" s="1"/>
  <c r="AA11" i="13"/>
  <c r="J11" i="13"/>
  <c r="G39" i="13"/>
  <c r="G10" i="13"/>
  <c r="E15" i="10"/>
  <c r="F12" i="13"/>
  <c r="F40" i="13" s="1"/>
  <c r="D17" i="10"/>
  <c r="AY69" i="5"/>
  <c r="AV67" i="5"/>
  <c r="AV68" i="5" s="1"/>
  <c r="AY67" i="5"/>
  <c r="AY68" i="5" s="1"/>
  <c r="AV69" i="5"/>
  <c r="F10" i="13"/>
  <c r="D15" i="10"/>
  <c r="G17" i="10"/>
  <c r="I12" i="13"/>
  <c r="I40" i="13" s="1"/>
  <c r="J15" i="10"/>
  <c r="L10" i="13"/>
  <c r="BX25" i="5"/>
  <c r="CB7" i="5"/>
  <c r="CB42" i="5"/>
  <c r="BX23" i="5"/>
  <c r="CB38" i="5"/>
  <c r="BB44" i="5"/>
  <c r="BZ44" i="5" s="1"/>
  <c r="BC42" i="5"/>
  <c r="BX47" i="5"/>
  <c r="BL23" i="5"/>
  <c r="CB12" i="5"/>
  <c r="BX15" i="5"/>
  <c r="BL42" i="5"/>
  <c r="BX42" i="5"/>
  <c r="BX34" i="5"/>
  <c r="CA39" i="5"/>
  <c r="CA56" i="5" s="1"/>
  <c r="CA57" i="5" s="1"/>
  <c r="CB50" i="5"/>
  <c r="CB15" i="5"/>
  <c r="BL9" i="5"/>
  <c r="CB14" i="5"/>
  <c r="CB39" i="5"/>
  <c r="BL50" i="5"/>
  <c r="BL4" i="5"/>
  <c r="BO47" i="5"/>
  <c r="CB9" i="5"/>
  <c r="BO9" i="5"/>
  <c r="BY39" i="5"/>
  <c r="BL15" i="5"/>
  <c r="BO50" i="5"/>
  <c r="BL7" i="5"/>
  <c r="BC34" i="5"/>
  <c r="BO23" i="5"/>
  <c r="BC23" i="5"/>
  <c r="BX9" i="5"/>
  <c r="BX4" i="5"/>
  <c r="BO4" i="5"/>
  <c r="BC26" i="5"/>
  <c r="CB13" i="5"/>
  <c r="BC15" i="5"/>
  <c r="BN9" i="5"/>
  <c r="BZ9" i="5" s="1"/>
  <c r="BX7" i="5"/>
  <c r="BL34" i="5"/>
  <c r="BC7" i="5"/>
  <c r="CB34" i="5"/>
  <c r="J11" i="12"/>
  <c r="AB45" i="12"/>
  <c r="BB26" i="5"/>
  <c r="BN24" i="5"/>
  <c r="BB34" i="5"/>
  <c r="BZ34" i="5" s="1"/>
  <c r="CB27" i="5"/>
  <c r="BX5" i="5"/>
  <c r="CB3" i="5"/>
  <c r="BO2" i="5"/>
  <c r="AV56" i="5"/>
  <c r="AV57" i="5" s="1"/>
  <c r="AZ56" i="5"/>
  <c r="AZ57" i="5" s="1"/>
  <c r="F10" i="12"/>
  <c r="D4" i="10"/>
  <c r="BP2" i="5"/>
  <c r="BP56" i="5" s="1"/>
  <c r="BP57" i="5" s="1"/>
  <c r="BA56" i="5"/>
  <c r="BA57" i="5" s="1"/>
  <c r="AA39" i="12"/>
  <c r="J39" i="12"/>
  <c r="F12" i="12"/>
  <c r="F40" i="12" s="1"/>
  <c r="D6" i="10"/>
  <c r="CB19" i="5"/>
  <c r="BP51" i="5"/>
  <c r="BP58" i="5" s="1"/>
  <c r="BP59" i="5" s="1"/>
  <c r="BA58" i="5"/>
  <c r="BA59" i="5" s="1"/>
  <c r="BN51" i="5"/>
  <c r="AU58" i="5"/>
  <c r="AU59" i="5" s="1"/>
  <c r="BD58" i="5"/>
  <c r="BD59" i="5" s="1"/>
  <c r="BN2" i="5"/>
  <c r="AU56" i="5"/>
  <c r="AU57" i="5" s="1"/>
  <c r="BO51" i="5"/>
  <c r="BO58" i="5" s="1"/>
  <c r="BO59" i="5" s="1"/>
  <c r="AV58" i="5"/>
  <c r="AV59" i="5" s="1"/>
  <c r="AY56" i="5"/>
  <c r="AY57" i="5" s="1"/>
  <c r="BK56" i="5"/>
  <c r="BK57" i="5" s="1"/>
  <c r="BU56" i="5"/>
  <c r="BU57" i="5" s="1"/>
  <c r="BE56" i="5"/>
  <c r="BE57" i="5" s="1"/>
  <c r="BW56" i="5"/>
  <c r="BW57" i="5" s="1"/>
  <c r="CD56" i="5"/>
  <c r="CD57" i="5" s="1"/>
  <c r="BG56" i="5"/>
  <c r="BG57" i="5" s="1"/>
  <c r="CI56" i="5"/>
  <c r="CI57" i="5" s="1"/>
  <c r="CF56" i="5"/>
  <c r="CF57" i="5" s="1"/>
  <c r="BI56" i="5"/>
  <c r="BI57" i="5" s="1"/>
  <c r="BD56" i="5"/>
  <c r="BD57" i="5" s="1"/>
  <c r="BR56" i="5"/>
  <c r="BR57" i="5" s="1"/>
  <c r="CC56" i="5"/>
  <c r="CC57" i="5" s="1"/>
  <c r="F75" i="12"/>
  <c r="F80" i="12" s="1"/>
  <c r="BF56" i="5"/>
  <c r="BF57" i="5" s="1"/>
  <c r="BT56" i="5"/>
  <c r="BT57" i="5" s="1"/>
  <c r="CE56" i="5"/>
  <c r="CE57" i="5" s="1"/>
  <c r="CB8" i="5"/>
  <c r="BH56" i="5"/>
  <c r="BH57" i="5" s="1"/>
  <c r="BQ56" i="5"/>
  <c r="BQ57" i="5" s="1"/>
  <c r="BJ56" i="5"/>
  <c r="BJ57" i="5" s="1"/>
  <c r="BS56" i="5"/>
  <c r="BS57" i="5" s="1"/>
  <c r="BV56" i="5"/>
  <c r="BV57" i="5" s="1"/>
  <c r="BN19" i="5"/>
  <c r="BZ19" i="5" s="1"/>
  <c r="BX29" i="5"/>
  <c r="CB32" i="5"/>
  <c r="CB43" i="5"/>
  <c r="CB11" i="5"/>
  <c r="CB48" i="5"/>
  <c r="BB51" i="5"/>
  <c r="BB58" i="5" s="1"/>
  <c r="BB59" i="5" s="1"/>
  <c r="BL30" i="5"/>
  <c r="BC43" i="5"/>
  <c r="BN16" i="5"/>
  <c r="BN48" i="5"/>
  <c r="BZ48" i="5" s="1"/>
  <c r="BN43" i="5"/>
  <c r="BZ43" i="5" s="1"/>
  <c r="CB40" i="5"/>
  <c r="BX40" i="5"/>
  <c r="BX19" i="5"/>
  <c r="BX45" i="5"/>
  <c r="BN11" i="5"/>
  <c r="BZ11" i="5" s="1"/>
  <c r="BL38" i="5"/>
  <c r="BL48" i="5"/>
  <c r="BB32" i="5"/>
  <c r="BZ32" i="5" s="1"/>
  <c r="BL32" i="5"/>
  <c r="BC2" i="5"/>
  <c r="BO35" i="5"/>
  <c r="BN3" i="5"/>
  <c r="BZ3" i="5" s="1"/>
  <c r="BO40" i="5"/>
  <c r="BO24" i="5"/>
  <c r="BL35" i="5"/>
  <c r="BX35" i="5"/>
  <c r="BL19" i="5"/>
  <c r="BL27" i="5"/>
  <c r="BO8" i="5"/>
  <c r="BB27" i="5"/>
  <c r="BZ27" i="5" s="1"/>
  <c r="BB8" i="5"/>
  <c r="BZ8" i="5" s="1"/>
  <c r="BX8" i="5"/>
  <c r="BC27" i="5"/>
  <c r="BC11" i="5"/>
  <c r="BC3" i="5"/>
  <c r="BX48" i="5"/>
  <c r="BY37" i="5"/>
  <c r="BY56" i="5" s="1"/>
  <c r="BY57" i="5" s="1"/>
  <c r="CB24" i="5"/>
  <c r="BL46" i="5"/>
  <c r="CB16" i="5"/>
  <c r="BX11" i="5"/>
  <c r="BO48" i="5"/>
  <c r="BC51" i="5"/>
  <c r="BC58" i="5" s="1"/>
  <c r="BC59" i="5" s="1"/>
  <c r="BX32" i="5"/>
  <c r="BB35" i="5"/>
  <c r="BZ35" i="5" s="1"/>
  <c r="CB6" i="5"/>
  <c r="BO19" i="5"/>
  <c r="BL11" i="5"/>
  <c r="BL3" i="5"/>
  <c r="BL40" i="5"/>
  <c r="BC32" i="5"/>
  <c r="BL43" i="5"/>
  <c r="BB2" i="5"/>
  <c r="BL2" i="5"/>
  <c r="BO16" i="5"/>
  <c r="BX21" i="5"/>
  <c r="BL8" i="5"/>
  <c r="BX27" i="5"/>
  <c r="BX3" i="5"/>
  <c r="BB40" i="5"/>
  <c r="BZ40" i="5" s="1"/>
  <c r="BX43" i="5"/>
  <c r="D14" i="7"/>
  <c r="M12" i="13" l="1"/>
  <c r="M40" i="13" s="1"/>
  <c r="G15" i="10"/>
  <c r="E17" i="10"/>
  <c r="E18" i="10" s="1"/>
  <c r="J17" i="10"/>
  <c r="BN58" i="5"/>
  <c r="BN59" i="5" s="1"/>
  <c r="K18" i="10"/>
  <c r="I15" i="10"/>
  <c r="K10" i="13"/>
  <c r="D18" i="10"/>
  <c r="D21" i="10" s="1"/>
  <c r="AA39" i="13"/>
  <c r="J39" i="13"/>
  <c r="H10" i="13"/>
  <c r="J10" i="13" s="1"/>
  <c r="F15" i="10"/>
  <c r="AV70" i="5"/>
  <c r="L40" i="13"/>
  <c r="N40" i="13" s="1"/>
  <c r="H12" i="13"/>
  <c r="H40" i="13" s="1"/>
  <c r="F17" i="10"/>
  <c r="F13" i="13"/>
  <c r="F16" i="13" s="1"/>
  <c r="F38" i="13"/>
  <c r="F41" i="13" s="1"/>
  <c r="L17" i="10"/>
  <c r="AZ67" i="5"/>
  <c r="AZ68" i="5" s="1"/>
  <c r="AZ69" i="5"/>
  <c r="I13" i="13"/>
  <c r="I38" i="13"/>
  <c r="AB10" i="13"/>
  <c r="AX67" i="5"/>
  <c r="AX69" i="5"/>
  <c r="J10" i="11" s="1"/>
  <c r="G18" i="10"/>
  <c r="M13" i="13"/>
  <c r="M38" i="13"/>
  <c r="M41" i="13" s="1"/>
  <c r="AW67" i="5"/>
  <c r="AW68" i="5" s="1"/>
  <c r="AW69" i="5"/>
  <c r="L13" i="13"/>
  <c r="L38" i="13"/>
  <c r="N10" i="13"/>
  <c r="L15" i="10"/>
  <c r="J18" i="10"/>
  <c r="AY70" i="5"/>
  <c r="G13" i="13"/>
  <c r="AA10" i="13"/>
  <c r="G38" i="13"/>
  <c r="G40" i="13"/>
  <c r="D7" i="10"/>
  <c r="D10" i="10" s="1"/>
  <c r="CB51" i="5"/>
  <c r="CB58" i="5" s="1"/>
  <c r="CB59" i="5" s="1"/>
  <c r="BX2" i="5"/>
  <c r="BX56" i="5" s="1"/>
  <c r="BX57" i="5" s="1"/>
  <c r="BO56" i="5"/>
  <c r="BO57" i="5" s="1"/>
  <c r="CB2" i="5"/>
  <c r="CB56" i="5" s="1"/>
  <c r="CB57" i="5" s="1"/>
  <c r="BC56" i="5"/>
  <c r="BC57" i="5" s="1"/>
  <c r="F6" i="10" s="1"/>
  <c r="I4" i="10"/>
  <c r="K10" i="12"/>
  <c r="L12" i="12"/>
  <c r="J6" i="10"/>
  <c r="G10" i="12"/>
  <c r="E4" i="10"/>
  <c r="F13" i="12"/>
  <c r="F16" i="12" s="1"/>
  <c r="F38" i="12"/>
  <c r="F41" i="12" s="1"/>
  <c r="G6" i="10"/>
  <c r="I12" i="12"/>
  <c r="I40" i="12" s="1"/>
  <c r="G12" i="12"/>
  <c r="E6" i="10"/>
  <c r="AC39" i="12"/>
  <c r="AA45" i="12"/>
  <c r="AC45" i="12" s="1"/>
  <c r="BZ2" i="5"/>
  <c r="BZ56" i="5" s="1"/>
  <c r="BZ57" i="5" s="1"/>
  <c r="BB56" i="5"/>
  <c r="BB57" i="5" s="1"/>
  <c r="BN56" i="5"/>
  <c r="BN57" i="5" s="1"/>
  <c r="BL56" i="5"/>
  <c r="BL57" i="5" s="1"/>
  <c r="AB10" i="9"/>
  <c r="N12" i="13" l="1"/>
  <c r="N13" i="13" s="1"/>
  <c r="AX68" i="5"/>
  <c r="J8" i="11"/>
  <c r="H17" i="10"/>
  <c r="J12" i="13"/>
  <c r="J40" i="13"/>
  <c r="F18" i="10"/>
  <c r="H18" i="10" s="1"/>
  <c r="E20" i="10" s="1"/>
  <c r="AC10" i="13"/>
  <c r="AZ70" i="5"/>
  <c r="L18" i="10"/>
  <c r="H15" i="10"/>
  <c r="BA67" i="5"/>
  <c r="BA69" i="5"/>
  <c r="M10" i="11" s="1"/>
  <c r="G41" i="13"/>
  <c r="AA38" i="13"/>
  <c r="F43" i="13"/>
  <c r="F44" i="13"/>
  <c r="F45" i="13"/>
  <c r="H13" i="13"/>
  <c r="J13" i="13" s="1"/>
  <c r="H15" i="13" s="1"/>
  <c r="H16" i="13" s="1"/>
  <c r="H38" i="13"/>
  <c r="H41" i="13" s="1"/>
  <c r="N38" i="13"/>
  <c r="L41" i="13"/>
  <c r="N41" i="13" s="1"/>
  <c r="AW70" i="5"/>
  <c r="AX70" i="5"/>
  <c r="J11" i="11" s="1"/>
  <c r="AC39" i="13"/>
  <c r="AA45" i="13"/>
  <c r="AC45" i="13" s="1"/>
  <c r="AB38" i="13"/>
  <c r="AB44" i="13" s="1"/>
  <c r="I41" i="13"/>
  <c r="H12" i="12"/>
  <c r="H40" i="12" s="1"/>
  <c r="F43" i="12"/>
  <c r="F44" i="12"/>
  <c r="F45" i="12"/>
  <c r="G4" i="10"/>
  <c r="G7" i="10" s="1"/>
  <c r="I10" i="12"/>
  <c r="E7" i="10"/>
  <c r="G38" i="12"/>
  <c r="G13" i="12"/>
  <c r="AA10" i="12"/>
  <c r="H6" i="10"/>
  <c r="G40" i="12"/>
  <c r="L40" i="12"/>
  <c r="F4" i="10"/>
  <c r="H10" i="12"/>
  <c r="L10" i="12"/>
  <c r="J4" i="10"/>
  <c r="AA11" i="9"/>
  <c r="AC11" i="9"/>
  <c r="AA10" i="9"/>
  <c r="BA68" i="5" l="1"/>
  <c r="M8" i="11"/>
  <c r="AX72" i="5"/>
  <c r="J9" i="11"/>
  <c r="F20" i="10"/>
  <c r="F21" i="10" s="1"/>
  <c r="J12" i="12"/>
  <c r="G15" i="13"/>
  <c r="G20" i="10"/>
  <c r="G21" i="10" s="1"/>
  <c r="H20" i="10"/>
  <c r="H21" i="10" s="1"/>
  <c r="E21" i="10"/>
  <c r="J38" i="13"/>
  <c r="J41" i="13" s="1"/>
  <c r="G51" i="13" s="1"/>
  <c r="J40" i="12"/>
  <c r="AA44" i="13"/>
  <c r="AC44" i="13" s="1"/>
  <c r="AC38" i="13"/>
  <c r="BA70" i="5"/>
  <c r="M11" i="11" s="1"/>
  <c r="H4" i="10"/>
  <c r="F7" i="10"/>
  <c r="H7" i="10" s="1"/>
  <c r="F9" i="10" s="1"/>
  <c r="F10" i="10" s="1"/>
  <c r="J7" i="10"/>
  <c r="L38" i="12"/>
  <c r="L13" i="12"/>
  <c r="I38" i="12"/>
  <c r="I13" i="12"/>
  <c r="H13" i="12"/>
  <c r="H38" i="12"/>
  <c r="H41" i="12" s="1"/>
  <c r="G41" i="12"/>
  <c r="AA38" i="12"/>
  <c r="J10" i="12"/>
  <c r="AC10" i="9"/>
  <c r="BA72" i="5" l="1"/>
  <c r="M9" i="11"/>
  <c r="J13" i="11"/>
  <c r="AX80" i="5"/>
  <c r="J21" i="11" s="1"/>
  <c r="G43" i="13"/>
  <c r="J43" i="13" s="1"/>
  <c r="G52" i="13"/>
  <c r="G56" i="13" s="1"/>
  <c r="G60" i="13" s="1"/>
  <c r="J51" i="13"/>
  <c r="J52" i="13" s="1"/>
  <c r="J56" i="13" s="1"/>
  <c r="J60" i="13" s="1"/>
  <c r="H51" i="13"/>
  <c r="G16" i="13"/>
  <c r="J15" i="13"/>
  <c r="J16" i="13" s="1"/>
  <c r="I15" i="13"/>
  <c r="I16" i="13" s="1"/>
  <c r="I51" i="13"/>
  <c r="J13" i="12"/>
  <c r="H15" i="12" s="1"/>
  <c r="H16" i="12" s="1"/>
  <c r="L41" i="12"/>
  <c r="E9" i="10"/>
  <c r="AA44" i="12"/>
  <c r="J38" i="12"/>
  <c r="J41" i="12" s="1"/>
  <c r="H51" i="12" s="1"/>
  <c r="I41" i="12"/>
  <c r="E73" i="9"/>
  <c r="E72" i="9"/>
  <c r="M13" i="11" l="1"/>
  <c r="BA80" i="5"/>
  <c r="M21" i="11" s="1"/>
  <c r="I52" i="13"/>
  <c r="I56" i="13" s="1"/>
  <c r="I60" i="13" s="1"/>
  <c r="I43" i="13"/>
  <c r="L16" i="13"/>
  <c r="J21" i="10"/>
  <c r="H52" i="13"/>
  <c r="H56" i="13" s="1"/>
  <c r="H60" i="13" s="1"/>
  <c r="H43" i="13"/>
  <c r="J67" i="13"/>
  <c r="K44" i="13"/>
  <c r="G44" i="13"/>
  <c r="J44" i="13" s="1"/>
  <c r="G67" i="13"/>
  <c r="K43" i="13"/>
  <c r="G15" i="12"/>
  <c r="G16" i="12" s="1"/>
  <c r="I51" i="12"/>
  <c r="I52" i="12" s="1"/>
  <c r="I56" i="12" s="1"/>
  <c r="I60" i="12" s="1"/>
  <c r="G51" i="12"/>
  <c r="H52" i="12"/>
  <c r="H56" i="12" s="1"/>
  <c r="H60" i="12" s="1"/>
  <c r="H43" i="12"/>
  <c r="G9" i="10"/>
  <c r="G10" i="10" s="1"/>
  <c r="E10" i="10"/>
  <c r="J79" i="9"/>
  <c r="J78" i="9"/>
  <c r="J77" i="9"/>
  <c r="K45" i="13" l="1"/>
  <c r="O72" i="13"/>
  <c r="I69" i="13"/>
  <c r="J69" i="13" s="1"/>
  <c r="G72" i="13"/>
  <c r="H68" i="13"/>
  <c r="J68" i="13" s="1"/>
  <c r="G73" i="13"/>
  <c r="I73" i="13" s="1"/>
  <c r="J73" i="13" s="1"/>
  <c r="M72" i="13"/>
  <c r="J75" i="13"/>
  <c r="J80" i="13" s="1"/>
  <c r="H44" i="13"/>
  <c r="H67" i="13"/>
  <c r="G45" i="13"/>
  <c r="J45" i="13" s="1"/>
  <c r="K46" i="13" s="1"/>
  <c r="G75" i="13"/>
  <c r="G80" i="13" s="1"/>
  <c r="I43" i="12"/>
  <c r="I44" i="13"/>
  <c r="I67" i="13"/>
  <c r="I15" i="12"/>
  <c r="I16" i="12" s="1"/>
  <c r="J51" i="12"/>
  <c r="J52" i="12" s="1"/>
  <c r="J56" i="12" s="1"/>
  <c r="J60" i="12" s="1"/>
  <c r="J67" i="12" s="1"/>
  <c r="O72" i="12" s="1"/>
  <c r="G52" i="12"/>
  <c r="G56" i="12" s="1"/>
  <c r="G60" i="12" s="1"/>
  <c r="G67" i="12" s="1"/>
  <c r="G45" i="12" s="1"/>
  <c r="G43" i="12"/>
  <c r="H9" i="10"/>
  <c r="H10" i="10" s="1"/>
  <c r="H67" i="12"/>
  <c r="H44" i="12"/>
  <c r="I67" i="12"/>
  <c r="I45" i="12" s="1"/>
  <c r="I44" i="12"/>
  <c r="H63" i="9"/>
  <c r="H68" i="12" l="1"/>
  <c r="J68" i="12" s="1"/>
  <c r="G73" i="12"/>
  <c r="M72" i="12"/>
  <c r="G72" i="12"/>
  <c r="G44" i="12"/>
  <c r="J44" i="12" s="1"/>
  <c r="K44" i="12" s="1"/>
  <c r="J43" i="12"/>
  <c r="K43" i="12" s="1"/>
  <c r="I45" i="13"/>
  <c r="I75" i="13"/>
  <c r="I80" i="13" s="1"/>
  <c r="H45" i="13"/>
  <c r="H75" i="13"/>
  <c r="H80" i="13" s="1"/>
  <c r="J15" i="12"/>
  <c r="J16" i="12" s="1"/>
  <c r="L16" i="12" s="1"/>
  <c r="H45" i="12"/>
  <c r="J45" i="12" s="1"/>
  <c r="H75" i="12"/>
  <c r="H80" i="12" s="1"/>
  <c r="G75" i="12"/>
  <c r="G80" i="12" s="1"/>
  <c r="I73" i="12"/>
  <c r="J73" i="12" s="1"/>
  <c r="K8" i="9"/>
  <c r="J10" i="10" l="1"/>
  <c r="K46" i="12"/>
  <c r="K45" i="12"/>
  <c r="I35" i="9"/>
  <c r="G63" i="9"/>
  <c r="I63" i="9" s="1"/>
  <c r="K50" i="9" l="1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3" i="5" l="1"/>
  <c r="CH11" i="5"/>
  <c r="CH19" i="5"/>
  <c r="CH27" i="5"/>
  <c r="CJ27" i="5" s="1"/>
  <c r="CH35" i="5"/>
  <c r="CJ35" i="5" s="1"/>
  <c r="CH43" i="5"/>
  <c r="CH4" i="5"/>
  <c r="CH28" i="5"/>
  <c r="CH36" i="5"/>
  <c r="CH44" i="5"/>
  <c r="CH5" i="5"/>
  <c r="CH13" i="5"/>
  <c r="CJ13" i="5" s="1"/>
  <c r="CH21" i="5"/>
  <c r="CH29" i="5"/>
  <c r="CJ29" i="5" s="1"/>
  <c r="CH37" i="5"/>
  <c r="CK37" i="5" s="1"/>
  <c r="CK56" i="5" s="1"/>
  <c r="CK57" i="5" s="1"/>
  <c r="CH45" i="5"/>
  <c r="CH6" i="5"/>
  <c r="CH30" i="5"/>
  <c r="CH38" i="5"/>
  <c r="CH46" i="5"/>
  <c r="CH2" i="5"/>
  <c r="CH7" i="5"/>
  <c r="CH15" i="5"/>
  <c r="CH23" i="5"/>
  <c r="CH31" i="5"/>
  <c r="CH39" i="5"/>
  <c r="CK39" i="5" s="1"/>
  <c r="CH47" i="5"/>
  <c r="CH8" i="5"/>
  <c r="CH32" i="5"/>
  <c r="CH40" i="5"/>
  <c r="CH48" i="5"/>
  <c r="CH9" i="5"/>
  <c r="CH17" i="5"/>
  <c r="CH25" i="5"/>
  <c r="CJ25" i="5" s="1"/>
  <c r="CH33" i="5"/>
  <c r="CJ33" i="5" s="1"/>
  <c r="CH41" i="5"/>
  <c r="CK41" i="5" s="1"/>
  <c r="CH49" i="5"/>
  <c r="CH10" i="5"/>
  <c r="CH34" i="5"/>
  <c r="CH42" i="5"/>
  <c r="CH50" i="5"/>
  <c r="CG7" i="5"/>
  <c r="CG15" i="5"/>
  <c r="CG23" i="5"/>
  <c r="CG31" i="5"/>
  <c r="CJ31" i="5" s="1"/>
  <c r="CG47" i="5"/>
  <c r="CJ47" i="5" s="1"/>
  <c r="CG6" i="5"/>
  <c r="CJ6" i="5" s="1"/>
  <c r="CG8" i="5"/>
  <c r="CG32" i="5"/>
  <c r="CG40" i="5"/>
  <c r="CG48" i="5"/>
  <c r="CG9" i="5"/>
  <c r="CG17" i="5"/>
  <c r="CJ17" i="5" s="1"/>
  <c r="CG49" i="5"/>
  <c r="CG2" i="5"/>
  <c r="CG10" i="5"/>
  <c r="CG34" i="5"/>
  <c r="CG42" i="5"/>
  <c r="CG50" i="5"/>
  <c r="CJ50" i="5" s="1"/>
  <c r="CG3" i="5"/>
  <c r="CJ3" i="5" s="1"/>
  <c r="CG11" i="5"/>
  <c r="CJ11" i="5" s="1"/>
  <c r="CG19" i="5"/>
  <c r="CJ19" i="5" s="1"/>
  <c r="CG43" i="5"/>
  <c r="CG38" i="5"/>
  <c r="CJ38" i="5" s="1"/>
  <c r="CG4" i="5"/>
  <c r="CG28" i="5"/>
  <c r="CG36" i="5"/>
  <c r="CJ36" i="5" s="1"/>
  <c r="CG44" i="5"/>
  <c r="CJ44" i="5" s="1"/>
  <c r="CG30" i="5"/>
  <c r="CJ30" i="5" s="1"/>
  <c r="CG5" i="5"/>
  <c r="CJ5" i="5" s="1"/>
  <c r="CG21" i="5"/>
  <c r="CJ21" i="5" s="1"/>
  <c r="CG45" i="5"/>
  <c r="CJ45" i="5" s="1"/>
  <c r="CG46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10" i="5" l="1"/>
  <c r="CJ43" i="5"/>
  <c r="CJ8" i="5"/>
  <c r="CH56" i="5"/>
  <c r="CH57" i="5" s="1"/>
  <c r="M12" i="12"/>
  <c r="K6" i="10"/>
  <c r="L6" i="10" s="1"/>
  <c r="CJ49" i="5"/>
  <c r="CJ2" i="5"/>
  <c r="CJ56" i="5" s="1"/>
  <c r="CJ57" i="5" s="1"/>
  <c r="CG56" i="5"/>
  <c r="CG57" i="5" s="1"/>
  <c r="CJ46" i="5"/>
  <c r="CJ23" i="5"/>
  <c r="CJ15" i="5"/>
  <c r="CJ9" i="5"/>
  <c r="CJ28" i="5"/>
  <c r="CJ42" i="5"/>
  <c r="CJ40" i="5"/>
  <c r="CJ7" i="5"/>
  <c r="CJ48" i="5"/>
  <c r="CJ4" i="5"/>
  <c r="CJ34" i="5"/>
  <c r="CJ32" i="5"/>
  <c r="F80" i="9"/>
  <c r="F45" i="9"/>
  <c r="N22" i="9"/>
  <c r="N21" i="9"/>
  <c r="H51" i="9"/>
  <c r="H43" i="9" s="1"/>
  <c r="I51" i="9"/>
  <c r="I43" i="9" s="1"/>
  <c r="M10" i="12" l="1"/>
  <c r="K4" i="10"/>
  <c r="M40" i="12"/>
  <c r="N40" i="12" s="1"/>
  <c r="N12" i="12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7" i="10" l="1"/>
  <c r="L4" i="10"/>
  <c r="L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M41" i="12" l="1"/>
  <c r="N38" i="12"/>
  <c r="AB38" i="12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D7DA3C4-CE9F-4625-ACBF-50576F314217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E75432A-16D9-4FA5-A9F9-A3D7EF9B26E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C89D4E2-1B0B-4FDF-AE15-1C87006E22C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41971EF-766F-4F29-8AE7-7F662EA0A01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480F3D0-9D29-4A9D-969C-5014071A947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B900F72-0186-4389-BB22-C1F8D9FCCE4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D0071DF-3172-43F8-B8D1-6482CC9FC7B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3E150D6-A2C8-417D-8179-539A641B748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54D2AC7-457D-448C-93BD-0239A95519A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B4DBCED-474A-4E70-8F9F-91EFDDF4E5B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CF762C0-7F3B-41E9-89EC-B0BF7973C42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6804841-7FBC-451F-BB69-89ABEA264F4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10B244A-0182-4D25-BC46-7323E88A090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0385ABB-B648-4D09-8443-1596BDFEA18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3B4500B-75A1-4C4D-8C88-2CFFD54C2E6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AE3C0E2-4F4A-4600-B087-EA47DC22C63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13E5B42-AC57-44EF-BEB8-08698DD75D9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42FC928-CBF6-44D3-B052-50696007DE9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2EC75B92-6095-465A-BA2D-E3BA5AA29B3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C72E3F9C-2D94-4FA3-9AFA-C5CDAC08879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<sst xmlns="http://schemas.openxmlformats.org/spreadsheetml/2006/main" count="1704" uniqueCount="497">
  <si>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</si>
  <si>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</si>
  <si>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</si>
  <si>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</si>
  <si>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</si>
  <si>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</si>
  <si>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</si>
  <si>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</si>
  <si>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</si>
  <si>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</si>
  <si>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</si>
  <si>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</si>
  <si>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</si>
  <si>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</si>
  <si>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</si>
  <si>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</si>
  <si>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</si>
  <si>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</si>
  <si>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</si>
  <si>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</si>
  <si>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</si>
  <si>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</si>
  <si>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</si>
  <si>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</si>
  <si>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</si>
  <si>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</si>
  <si>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</si>
  <si>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</si>
  <si>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</si>
  <si>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</si>
  <si>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</si>
  <si>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</si>
  <si>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</si>
  <si>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</si>
  <si>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</si>
  <si>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</si>
  <si>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</si>
  <si>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</si>
  <si>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</si>
  <si>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</si>
  <si>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</si>
  <si>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</si>
  <si>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</si>
  <si>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</si>
  <si>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</si>
  <si>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</si>
  <si>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</si>
  <si>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</si>
  <si>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</si>
  <si>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</si>
  <si>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</si>
  <si>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</si>
  <si>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</si>
  <si>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</si>
  <si>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</si>
  <si>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</si>
  <si>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</si>
  <si>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</si>
  <si>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</si>
  <si>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</si>
  <si>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</si>
  <si>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</si>
  <si>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</si>
  <si>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</si>
  <si>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</si>
  <si>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</si>
  <si>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</si>
  <si>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</si>
  <si>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</si>
  <si>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</si>
  <si>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</si>
  <si>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</si>
  <si>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</si>
  <si>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</si>
  <si>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</si>
  <si>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</si>
  <si>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</si>
  <si>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</si>
  <si>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</si>
  <si>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</si>
  <si>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</si>
  <si>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</si>
  <si>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</si>
  <si>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</si>
  <si>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</si>
  <si>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</si>
  <si>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</si>
  <si>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</si>
  <si>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</si>
  <si>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</si>
  <si>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</si>
  <si>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</si>
  <si>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</si>
  <si>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</si>
  <si>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</si>
  <si>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</si>
  <si>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</si>
  <si>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</si>
  <si>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</si>
  <si>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</si>
  <si>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</si>
  <si>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</si>
  <si>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</si>
  <si>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</si>
  <si>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</si>
  <si>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</si>
  <si>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</si>
  <si>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</si>
  <si>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</si>
  <si>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</si>
  <si>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</si>
  <si>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</si>
  <si>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</si>
  <si>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</si>
  <si>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</si>
  <si>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</si>
  <si>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</si>
  <si>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</si>
  <si>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</si>
  <si>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</si>
  <si>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</si>
  <si>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</si>
  <si>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</si>
  <si>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</si>
  <si>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</si>
  <si>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</si>
  <si>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</si>
  <si>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</si>
  <si>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</si>
  <si>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</si>
  <si>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</si>
  <si>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</si>
  <si>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</si>
  <si>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</si>
  <si>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</si>
  <si>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</si>
  <si>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</si>
  <si>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</si>
  <si>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</si>
  <si>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</si>
  <si>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</si>
  <si>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</si>
  <si>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</si>
  <si>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</si>
  <si>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</si>
  <si>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</si>
  <si>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</si>
  <si>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</si>
  <si>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</si>
  <si>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</si>
  <si>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</si>
  <si>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</si>
  <si>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</si>
  <si>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</si>
  <si>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</si>
  <si>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</si>
  <si>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</si>
  <si>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</si>
  <si>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</si>
  <si>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</si>
  <si>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</si>
  <si>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</si>
  <si>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</si>
  <si>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900</t>
  </si>
  <si>
    <t>1123</t>
  </si>
  <si>
    <t xml:space="preserve">UTIL COMP INVSTGTR  </t>
  </si>
  <si>
    <t>0229</t>
  </si>
  <si>
    <t>20</t>
  </si>
  <si>
    <t>PCAB</t>
  </si>
  <si>
    <t>001</t>
  </si>
  <si>
    <t>04535</t>
  </si>
  <si>
    <t>K</t>
  </si>
  <si>
    <t>F</t>
  </si>
  <si>
    <t>CR</t>
  </si>
  <si>
    <t>HECHT, CHRIS W.</t>
  </si>
  <si>
    <t>HECHT</t>
  </si>
  <si>
    <t>CHRIS</t>
  </si>
  <si>
    <t>W</t>
  </si>
  <si>
    <t xml:space="preserve">HK   </t>
  </si>
  <si>
    <t>H</t>
  </si>
  <si>
    <t>FS</t>
  </si>
  <si>
    <t>E</t>
  </si>
  <si>
    <t>N</t>
  </si>
  <si>
    <t>Y</t>
  </si>
  <si>
    <t xml:space="preserve">    </t>
  </si>
  <si>
    <t>1120</t>
  </si>
  <si>
    <t>UTILITIES ANALYST, P</t>
  </si>
  <si>
    <t>04552</t>
  </si>
  <si>
    <t>M</t>
  </si>
  <si>
    <t xml:space="preserve">YIN, YAO </t>
  </si>
  <si>
    <t>YIN</t>
  </si>
  <si>
    <t>YAO</t>
  </si>
  <si>
    <t xml:space="preserve">              </t>
  </si>
  <si>
    <t xml:space="preserve">HM   </t>
  </si>
  <si>
    <t>1069</t>
  </si>
  <si>
    <t xml:space="preserve">ELDRED, MICHAEL </t>
  </si>
  <si>
    <t>ELDRED</t>
  </si>
  <si>
    <t>MICHAEL</t>
  </si>
  <si>
    <t>1067</t>
  </si>
  <si>
    <t xml:space="preserve">TECH RECORDS SPEC 1 </t>
  </si>
  <si>
    <t>01104</t>
  </si>
  <si>
    <t>CARR, NAOMI N.</t>
  </si>
  <si>
    <t>CARR</t>
  </si>
  <si>
    <t>NAOMI</t>
  </si>
  <si>
    <t xml:space="preserve">HH   </t>
  </si>
  <si>
    <t>1066</t>
  </si>
  <si>
    <t>VELASQUEZ, ANGA M.</t>
  </si>
  <si>
    <t>VELASQUEZ</t>
  </si>
  <si>
    <t>ANGA</t>
  </si>
  <si>
    <t>1061</t>
  </si>
  <si>
    <t>FINANCIAL SPECIALIST</t>
  </si>
  <si>
    <t>04245</t>
  </si>
  <si>
    <t>L</t>
  </si>
  <si>
    <t>ASHCRAFT, NANCY C.</t>
  </si>
  <si>
    <t>ASHCRAFT</t>
  </si>
  <si>
    <t>NANCY</t>
  </si>
  <si>
    <t>CAROL</t>
  </si>
  <si>
    <t xml:space="preserve">HL   </t>
  </si>
  <si>
    <t>1060</t>
  </si>
  <si>
    <t xml:space="preserve">HUMAN RESOURCE SPEC </t>
  </si>
  <si>
    <t>05141</t>
  </si>
  <si>
    <t xml:space="preserve">BEUS, RYAN </t>
  </si>
  <si>
    <t>BEUS</t>
  </si>
  <si>
    <t>RYAN</t>
  </si>
  <si>
    <t>1055</t>
  </si>
  <si>
    <t xml:space="preserve">ADMIN ASST 1        </t>
  </si>
  <si>
    <t>01235</t>
  </si>
  <si>
    <t>NELSON, MARY J.</t>
  </si>
  <si>
    <t>NELSON</t>
  </si>
  <si>
    <t>MARY</t>
  </si>
  <si>
    <t>JO</t>
  </si>
  <si>
    <t>1051</t>
  </si>
  <si>
    <t>FINANCIAL TECHNICIAN</t>
  </si>
  <si>
    <t>04249</t>
  </si>
  <si>
    <t>I</t>
  </si>
  <si>
    <t>MILLICH, LARA A.</t>
  </si>
  <si>
    <t>MILLICH</t>
  </si>
  <si>
    <t>LARA</t>
  </si>
  <si>
    <t>A</t>
  </si>
  <si>
    <t xml:space="preserve">HI   </t>
  </si>
  <si>
    <t>1037</t>
  </si>
  <si>
    <t>SAFETY INSPECTOR REG</t>
  </si>
  <si>
    <t>04520</t>
  </si>
  <si>
    <t>ANDREWS, WAYNE M.</t>
  </si>
  <si>
    <t>ANDREWS</t>
  </si>
  <si>
    <t>WAYNE</t>
  </si>
  <si>
    <t>9999</t>
  </si>
  <si>
    <t xml:space="preserve">GROUP POSITION      </t>
  </si>
  <si>
    <t>90000</t>
  </si>
  <si>
    <t>00</t>
  </si>
  <si>
    <t>NG</t>
  </si>
  <si>
    <t>1030</t>
  </si>
  <si>
    <t xml:space="preserve">DIR REG CARRIER DIV </t>
  </si>
  <si>
    <t>25206</t>
  </si>
  <si>
    <t>NR</t>
  </si>
  <si>
    <t>BARRATT-RILEY, MARIA D.</t>
  </si>
  <si>
    <t>BARRATT-RILEY</t>
  </si>
  <si>
    <t>MARIA</t>
  </si>
  <si>
    <t>DAWN</t>
  </si>
  <si>
    <t>00000</t>
  </si>
  <si>
    <t>9998</t>
  </si>
  <si>
    <t>V</t>
  </si>
  <si>
    <t>1029</t>
  </si>
  <si>
    <t xml:space="preserve">PROGRAM MANAGER     </t>
  </si>
  <si>
    <t>09047</t>
  </si>
  <si>
    <t>LOUIS, MICHAEL C.</t>
  </si>
  <si>
    <t>LOUIS</t>
  </si>
  <si>
    <t>CHARLES</t>
  </si>
  <si>
    <t xml:space="preserve">HN   </t>
  </si>
  <si>
    <t>9996</t>
  </si>
  <si>
    <t>1028</t>
  </si>
  <si>
    <t>QUINTERO, REYNA M.</t>
  </si>
  <si>
    <t>QUINTERO</t>
  </si>
  <si>
    <t>REYNA</t>
  </si>
  <si>
    <t>MADRIZ</t>
  </si>
  <si>
    <t>1841</t>
  </si>
  <si>
    <t>1025</t>
  </si>
  <si>
    <t>AUDITOR SENIOR, PUBL</t>
  </si>
  <si>
    <t>04544</t>
  </si>
  <si>
    <t>TERRY, JOSEPH M.</t>
  </si>
  <si>
    <t>TERRY</t>
  </si>
  <si>
    <t>JOSEPH</t>
  </si>
  <si>
    <t>1143</t>
  </si>
  <si>
    <t>1023</t>
  </si>
  <si>
    <t>TALFORD, JASON J.</t>
  </si>
  <si>
    <t>TALFORD</t>
  </si>
  <si>
    <t>JASON</t>
  </si>
  <si>
    <t>1142</t>
  </si>
  <si>
    <t>1021</t>
  </si>
  <si>
    <t>ENGLISH, DONN J.</t>
  </si>
  <si>
    <t>ENGLISH</t>
  </si>
  <si>
    <t>DONN</t>
  </si>
  <si>
    <t>J</t>
  </si>
  <si>
    <t>1065</t>
  </si>
  <si>
    <t>1020</t>
  </si>
  <si>
    <t xml:space="preserve">UTILITIES DIV ADMIN </t>
  </si>
  <si>
    <t>25209</t>
  </si>
  <si>
    <t>CARLOCK, TERRI A.</t>
  </si>
  <si>
    <t>CARLOCK</t>
  </si>
  <si>
    <t>TERRI</t>
  </si>
  <si>
    <t>ALAYNE</t>
  </si>
  <si>
    <t>1062</t>
  </si>
  <si>
    <t>1010</t>
  </si>
  <si>
    <t xml:space="preserve">POLICY STRATEGIST   </t>
  </si>
  <si>
    <t>25212</t>
  </si>
  <si>
    <t>HAVER, JOSHUA S.</t>
  </si>
  <si>
    <t>HAVER</t>
  </si>
  <si>
    <t>JOSHUA</t>
  </si>
  <si>
    <t>STEVEN</t>
  </si>
  <si>
    <t>1902</t>
  </si>
  <si>
    <t>04246</t>
  </si>
  <si>
    <t>CONILOGUE, LAURA J.</t>
  </si>
  <si>
    <t>CONILOGUE</t>
  </si>
  <si>
    <t>LAURA</t>
  </si>
  <si>
    <t>1008</t>
  </si>
  <si>
    <t xml:space="preserve">PUBLIC INFO OFCR    </t>
  </si>
  <si>
    <t>05578</t>
  </si>
  <si>
    <t xml:space="preserve">RUSH, ADAM </t>
  </si>
  <si>
    <t>RUSH</t>
  </si>
  <si>
    <t>ADAM</t>
  </si>
  <si>
    <t>1901</t>
  </si>
  <si>
    <t>MAUPIN, ROBERTA J.</t>
  </si>
  <si>
    <t>MAUPIN</t>
  </si>
  <si>
    <t>ROBERTA</t>
  </si>
  <si>
    <t>1007</t>
  </si>
  <si>
    <t xml:space="preserve">ADMIN ASST 2        </t>
  </si>
  <si>
    <t>01231</t>
  </si>
  <si>
    <t>HAWKER, KERI J.</t>
  </si>
  <si>
    <t>HAWKER</t>
  </si>
  <si>
    <t>KERI</t>
  </si>
  <si>
    <t>1900</t>
  </si>
  <si>
    <t>KLEIN, DANIEL L.</t>
  </si>
  <si>
    <t>KLEIN</t>
  </si>
  <si>
    <t>DANIEL</t>
  </si>
  <si>
    <t>1006</t>
  </si>
  <si>
    <t>COMMISSION SECRETARY</t>
  </si>
  <si>
    <t>25202</t>
  </si>
  <si>
    <t>NORIYUKI, JAN E.</t>
  </si>
  <si>
    <t>NORIYUKI</t>
  </si>
  <si>
    <t>JAN</t>
  </si>
  <si>
    <t>1843</t>
  </si>
  <si>
    <t>GALLI, MATTHEW R.</t>
  </si>
  <si>
    <t>GALLI</t>
  </si>
  <si>
    <t>MATTHEW</t>
  </si>
  <si>
    <t>1004</t>
  </si>
  <si>
    <t>GOODSON, STEPHEN R.</t>
  </si>
  <si>
    <t>GOODSON</t>
  </si>
  <si>
    <t>STEPHEN</t>
  </si>
  <si>
    <t>R</t>
  </si>
  <si>
    <t>1842</t>
  </si>
  <si>
    <t>04523</t>
  </si>
  <si>
    <t>PERKINS, BRUCE E.</t>
  </si>
  <si>
    <t>PERKINS</t>
  </si>
  <si>
    <t>BRUCE</t>
  </si>
  <si>
    <t>1003</t>
  </si>
  <si>
    <t xml:space="preserve">PUC COMMISSIONER    </t>
  </si>
  <si>
    <t>55153</t>
  </si>
  <si>
    <t>HAMMOND JR, JOHN R.</t>
  </si>
  <si>
    <t>HAMMOND JR</t>
  </si>
  <si>
    <t>JOHN</t>
  </si>
  <si>
    <t>1840</t>
  </si>
  <si>
    <t>KALALA-KASANDA, JOHAN E.</t>
  </si>
  <si>
    <t>KALALA-KASANDA</t>
  </si>
  <si>
    <t>JOHAN</t>
  </si>
  <si>
    <t>1002</t>
  </si>
  <si>
    <t>CHATBURN, JOHN W.</t>
  </si>
  <si>
    <t>CHATBURN</t>
  </si>
  <si>
    <t>WILLIAM</t>
  </si>
  <si>
    <t>1831</t>
  </si>
  <si>
    <t>THADEN, CURTIS J.</t>
  </si>
  <si>
    <t>THADEN</t>
  </si>
  <si>
    <t>CURTIS</t>
  </si>
  <si>
    <t>1001</t>
  </si>
  <si>
    <t>ANDERSON, ERIC R.</t>
  </si>
  <si>
    <t>ANDERSON</t>
  </si>
  <si>
    <t>ERIC</t>
  </si>
  <si>
    <t>1830</t>
  </si>
  <si>
    <t xml:space="preserve">BOSSARD, JOLENE </t>
  </si>
  <si>
    <t>BOSSARD</t>
  </si>
  <si>
    <t>JOLENE</t>
  </si>
  <si>
    <t>0105</t>
  </si>
  <si>
    <t xml:space="preserve">OFFICE SPECIALIST 2 </t>
  </si>
  <si>
    <t>01239</t>
  </si>
  <si>
    <t>G</t>
  </si>
  <si>
    <t>BURTON, MARCIA C.</t>
  </si>
  <si>
    <t>BURTON</t>
  </si>
  <si>
    <t>MARCIA</t>
  </si>
  <si>
    <t>C</t>
  </si>
  <si>
    <t xml:space="preserve">HG   </t>
  </si>
  <si>
    <t>1422</t>
  </si>
  <si>
    <t>BROOKS, JEFFREY N.</t>
  </si>
  <si>
    <t>BROOKS</t>
  </si>
  <si>
    <t>JEFFREY</t>
  </si>
  <si>
    <t>NATHAN</t>
  </si>
  <si>
    <t>1417</t>
  </si>
  <si>
    <t xml:space="preserve">KEYT, KEVIN </t>
  </si>
  <si>
    <t>KEYT</t>
  </si>
  <si>
    <t>KEVIN</t>
  </si>
  <si>
    <t>1402</t>
  </si>
  <si>
    <t xml:space="preserve">ENGINEER, TECHNICAL </t>
  </si>
  <si>
    <t>03706</t>
  </si>
  <si>
    <t>KELLER, RICHARD V.</t>
  </si>
  <si>
    <t>KELLER</t>
  </si>
  <si>
    <t>RICHARD</t>
  </si>
  <si>
    <t>1401</t>
  </si>
  <si>
    <t xml:space="preserve">CULBERTSON, TRAVIS </t>
  </si>
  <si>
    <t>CULBERTSON</t>
  </si>
  <si>
    <t>TRAVIS</t>
  </si>
  <si>
    <t>1301</t>
  </si>
  <si>
    <t>PROGRAM MNGR, TECH A</t>
  </si>
  <si>
    <t>04550</t>
  </si>
  <si>
    <t>THOMAS, TAYLOR J.</t>
  </si>
  <si>
    <t>THOMAS</t>
  </si>
  <si>
    <t>TAYLOR</t>
  </si>
  <si>
    <t>1141</t>
  </si>
  <si>
    <t>STOCKTON, KATHLEEN L.</t>
  </si>
  <si>
    <t>STOCKTON</t>
  </si>
  <si>
    <t>KATHLEEN</t>
  </si>
  <si>
    <t>1125</t>
  </si>
  <si>
    <t>SUESS, MATTHEW E.</t>
  </si>
  <si>
    <t>SUESS</t>
  </si>
  <si>
    <t>EDWIN</t>
  </si>
  <si>
    <t>0348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</si>
  <si>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</si>
  <si>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</si>
  <si>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</si>
  <si>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</si>
  <si>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</si>
  <si>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</si>
  <si>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</si>
  <si>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</si>
  <si>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</si>
  <si>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</si>
  <si>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</si>
  <si>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</si>
  <si>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</si>
  <si>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</si>
  <si>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</si>
  <si>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</si>
  <si>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</si>
  <si>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</si>
  <si>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</si>
  <si>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</si>
  <si>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</si>
  <si>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</si>
  <si>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</si>
  <si>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</si>
  <si>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</si>
  <si>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</si>
  <si>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</si>
  <si>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</si>
  <si>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</si>
  <si>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</si>
  <si>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</si>
  <si>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</si>
  <si>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</si>
  <si>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</si>
  <si>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</si>
  <si>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</si>
  <si>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</si>
  <si>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</si>
  <si>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</si>
  <si>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</si>
  <si>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</si>
  <si>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</si>
  <si>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</si>
  <si>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</si>
  <si>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</si>
  <si>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</si>
  <si>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</si>
  <si>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</si>
  <si>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PCAB 0229-20</t>
  </si>
  <si>
    <t>PCAB 0229</t>
  </si>
  <si>
    <t>Public Utilities Commission</t>
  </si>
  <si>
    <t>Utilities Regulation</t>
  </si>
  <si>
    <t>0229-20</t>
  </si>
  <si>
    <t>22920</t>
  </si>
  <si>
    <t>Utilities Regulation, Public Utilities Commission   PCAB-0229-20</t>
  </si>
  <si>
    <t>PCAB 0348-00</t>
  </si>
  <si>
    <t>PCAB 0348</t>
  </si>
  <si>
    <t>Federal Grant</t>
  </si>
  <si>
    <t>0348-00</t>
  </si>
  <si>
    <t>34800</t>
  </si>
  <si>
    <t>Utilities Regulation, Federal Grant   PCAB-0348-00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</si>
  <si>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</si>
  <si>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</si>
  <si>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</si>
  <si>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</si>
  <si>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</si>
  <si>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</si>
  <si>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</si>
  <si>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Fund-0229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</si>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</sst>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0" fillId="0" borderId="18" xfId="0" applyNumberFormat="1" applyBorder="1"/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B1743-B50E-4681-9054-54D261784B4B}">
  <sheetPr>
    <pageSetUpPr fitToPage="1"/>
  </sheetPr>
  <dimension ref="A1:CP80"/>
  <sheetViews>
    <sheetView showGridLines="0" tabSelected="1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473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900</v>
      </c>
      <c r="N1" s="409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473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476</v>
      </c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474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473</v>
      </c>
      <c r="J5" s="412"/>
      <c r="K5" s="412"/>
      <c r="L5" s="411"/>
      <c r="M5" s="352" t="s">
        <v>113</v>
      </c>
      <c r="N5" s="32" t="s">
        <v>475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"&amp;'PCAB|0229-20'!FiscalYear-1&amp;" SALARY"</f>
        <v>FY 2023 SALARY</v>
      </c>
      <c r="H8" s="50" t="str">
        <f>"FY "&amp;'PCAB|0229-20'!FiscalYear-1&amp;" HEALTH BENEFITS"</f>
        <v>FY 2023 HEALTH BENEFITS</v>
      </c>
      <c r="I8" s="50" t="str">
        <f>"FY "&amp;'PCAB|0229-20'!FiscalYear-1&amp;" VAR BENEFITS"</f>
        <v>FY 2023 VAR BENEFITS</v>
      </c>
      <c r="J8" s="50" t="str">
        <f>"FY "&amp;'PCAB|0229-20'!FiscalYear-1&amp;" TOTAL"</f>
        <v>FY 2023 TOTAL</v>
      </c>
      <c r="K8" s="50" t="str">
        <f>"FY "&amp;'PCAB|0229-20'!FiscalYear&amp;" SALARY CHANGE"</f>
        <v>FY 2024 SALARY CHANGE</v>
      </c>
      <c r="L8" s="50" t="str">
        <f>"FY "&amp;'PCAB|0229-20'!FiscalYear&amp;" CHG HEALTH BENEFITS"</f>
        <v>FY 2024 CHG HEALTH BENEFITS</v>
      </c>
      <c r="M8" s="50" t="str">
        <f>"FY "&amp;'PCAB|0229-20'!FiscalYear&amp;"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f>[0]!PCAB022920col_INC_FTI</f>
        <v>38</v>
      </c>
      <c r="G10" s="218">
        <f>[0]!PCAB022920col_FTI_SALARY_PERM</f>
        <v>2672633.6</v>
      </c>
      <c r="H10" s="218">
        <f>[0]!PCAB022920col_HEALTH_PERM</f>
        <v>475000</v>
      </c>
      <c r="I10" s="218">
        <f>[0]!PCAB022920col_TOT_VB_PERM</f>
        <v>570142.39414400002</v>
      </c>
      <c r="J10" s="219">
        <f>SUM(G10:I10)</f>
        <v>3717775.9941440001</v>
      </c>
      <c r="K10" s="219">
        <f>[0]!PCAB022920col_1_27TH_PP</f>
        <v>0</v>
      </c>
      <c r="L10" s="218">
        <f>[0]!PCAB022920col_HEALTH_PERM_CHG</f>
        <v>47500</v>
      </c>
      <c r="M10" s="218">
        <f>[0]!PCAB022920col_TOT_VB_PERM_CHG</f>
        <v>-19784.352000000024</v>
      </c>
      <c r="N10" s="218">
        <f>SUM(L10:M10)</f>
        <v>27715.647999999976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26700</v>
      </c>
      <c r="AB10" s="335">
        <f>ROUND(PermVarBen*CECPerm+(CECPerm*PermVarBenChg),-2)</f>
        <v>5500</v>
      </c>
      <c r="AC10" s="335">
        <f>SUM(AA10:AB10)</f>
        <v>32200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f>[0]!PCAB022920col_Group_Salary</f>
        <v>6732</v>
      </c>
      <c r="H11" s="218">
        <v>0</v>
      </c>
      <c r="I11" s="218">
        <f>[0]!PCAB022920col_Group_Ben</f>
        <v>640.66</v>
      </c>
      <c r="J11" s="219">
        <f>SUM(G11:I11)</f>
        <v>7372.66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f>[0]!PCAB022920col_TOTAL_ELECT_PCN_FTI</f>
        <v>3</v>
      </c>
      <c r="G12" s="218">
        <f>[0]!PCAB022920col_FTI_SALARY_ELECT</f>
        <v>360738</v>
      </c>
      <c r="H12" s="218">
        <f>[0]!PCAB022920col_HEALTH_ELECT</f>
        <v>37500</v>
      </c>
      <c r="I12" s="218">
        <f>[0]!PCAB022920col_TOT_VB_ELECT</f>
        <v>75433.923179999998</v>
      </c>
      <c r="J12" s="219">
        <f>SUM(G12:I12)</f>
        <v>473671.92317999998</v>
      </c>
      <c r="K12" s="268"/>
      <c r="L12" s="218">
        <f>[0]!PCAB022920col_HEALTH_ELECT_CHG</f>
        <v>3750</v>
      </c>
      <c r="M12" s="218">
        <f>[0]!PCAB022920col_TOT_VB_ELECT_CHG</f>
        <v>-2705.535000000003</v>
      </c>
      <c r="N12" s="219">
        <f>SUM(L12:M12)</f>
        <v>1044.464999999997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41</v>
      </c>
      <c r="G13" s="221">
        <f>SUM(G10:G12)</f>
        <v>3040103.6</v>
      </c>
      <c r="H13" s="221">
        <f>SUM(H10:H12)</f>
        <v>512500</v>
      </c>
      <c r="I13" s="221">
        <f>SUM(I10:I12)</f>
        <v>646216.97732400009</v>
      </c>
      <c r="J13" s="219">
        <f>SUM(G13:I13)</f>
        <v>4198820.5773240002</v>
      </c>
      <c r="K13" s="268"/>
      <c r="L13" s="219">
        <f>SUM(L10:L12)</f>
        <v>51250</v>
      </c>
      <c r="M13" s="219">
        <f>SUM(M10:M12)</f>
        <v>-22489.887000000028</v>
      </c>
      <c r="N13" s="219">
        <f>SUM(N10:N12)</f>
        <v>28760.112999999972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"&amp;'PCAB|0229-20'!FiscalYear-1</f>
        <v>FY 2023</v>
      </c>
      <c r="D15" s="158" t="s">
        <v>31</v>
      </c>
      <c r="E15" s="355">
        <v>4703700</v>
      </c>
      <c r="F15" s="55">
        <v>46</v>
      </c>
      <c r="G15" s="223">
        <f>IF(OrigApprop=0,0,(G13/$J$13)*OrigApprop)</f>
        <v>3405655.240556512</v>
      </c>
      <c r="H15" s="223">
        <f>IF(OrigApprop=0,0,(H13/$J$13)*OrigApprop)</f>
        <v>574124.61561678769</v>
      </c>
      <c r="I15" s="223">
        <f>IF(G15=0,0,(I13/$J$13)*OrigApprop)</f>
        <v>723920.14382670028</v>
      </c>
      <c r="J15" s="223">
        <f>SUM(G15:I15)</f>
        <v>4703700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5</v>
      </c>
      <c r="G16" s="162">
        <f>G15-G13</f>
        <v>365551.64055651193</v>
      </c>
      <c r="H16" s="162">
        <f>H15-H13</f>
        <v>61624.615616787691</v>
      </c>
      <c r="I16" s="162">
        <f>I15-I13</f>
        <v>77703.166502700187</v>
      </c>
      <c r="J16" s="162">
        <f>J15-J13</f>
        <v>504879.42267599981</v>
      </c>
      <c r="K16" s="269"/>
      <c r="L16" s="56" t="str">
        <f>IF('PCAB|0229-20'!OrigApprop=0,"No Original Appropriation amount in DU 3.00 for this fund","Calculated "&amp;IF('PCAB|0229-20'!AdjustedTotal&gt;0,"overfunding ","underfunding ")&amp;"is "&amp;TEXT('PCAB|0229-20'!AdjustedTotal/'PCAB|0229-20'!AppropTotal,"#.0%;(#.0% );0% ;")&amp;" of Original Appropriation")</f>
        <v>Calculated overfunding is 10.7%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38</v>
      </c>
      <c r="G38" s="191">
        <f>SUMIF($E10:$E35,$E38,$G10:$G35)</f>
        <v>2672633.6</v>
      </c>
      <c r="H38" s="192">
        <f>SUMIF($E10:$E35,$E38,$H10:$H35)</f>
        <v>475000</v>
      </c>
      <c r="I38" s="192">
        <f>SUMIF($E10:$E35,$E38,$I10:$I35)</f>
        <v>570142.39414400002</v>
      </c>
      <c r="J38" s="192">
        <f>SUM(G38:I38)</f>
        <v>3717775.9941440001</v>
      </c>
      <c r="K38" s="166"/>
      <c r="L38" s="191">
        <f>SUMIF($E10:$E35,$E38,$L10:$L35)</f>
        <v>47500</v>
      </c>
      <c r="M38" s="192">
        <f>SUMIF($E10:$E35,$E38,$M10:$M35)</f>
        <v>-19784.352000000024</v>
      </c>
      <c r="N38" s="192">
        <f>SUM(L38:M38)</f>
        <v>27715.647999999976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26700</v>
      </c>
      <c r="AB38" s="338">
        <f>ROUND((AdjPermVB*CECPerm+AdjPermVBBY*CECPerm),-2)</f>
        <v>5500</v>
      </c>
      <c r="AC38" s="338">
        <f>SUM(AA38:AB38)</f>
        <v>32200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6732</v>
      </c>
      <c r="H39" s="152">
        <f>SUMIF($E10:$E35,$E39,$H10:$H35)</f>
        <v>0</v>
      </c>
      <c r="I39" s="152">
        <f>SUMIF($E10:$E35,$E39,$I10:$I35)</f>
        <v>640.66</v>
      </c>
      <c r="J39" s="152">
        <f>SUM(G39:I39)</f>
        <v>7372.66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3</v>
      </c>
      <c r="G40" s="193">
        <f>SUMIF($E10:$E35,$E40,$G10:$G35)</f>
        <v>360738</v>
      </c>
      <c r="H40" s="152">
        <f>SUMIF($E10:$E35,$E40,$H10:$H35)</f>
        <v>37500</v>
      </c>
      <c r="I40" s="152">
        <f>SUMIF($E10:$E35,$E40,$I10:$I35)</f>
        <v>75433.923179999998</v>
      </c>
      <c r="J40" s="152">
        <f>SUM(G40:I40)</f>
        <v>473671.92317999998</v>
      </c>
      <c r="K40" s="259"/>
      <c r="L40" s="193">
        <f>SUMIF($E10:$E35,$E40,$L10:$L35)</f>
        <v>3750</v>
      </c>
      <c r="M40" s="152">
        <f>SUMIF($E10:$E35,$E40,$M10:$M35)</f>
        <v>-2705.535000000003</v>
      </c>
      <c r="N40" s="152">
        <f>SUM(L40:M40)</f>
        <v>1044.464999999997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41</v>
      </c>
      <c r="G41" s="195">
        <f>SUM($G$38:$G$40)</f>
        <v>3040103.6</v>
      </c>
      <c r="H41" s="162">
        <f>SUM($H$38:$H$40)</f>
        <v>512500</v>
      </c>
      <c r="I41" s="162">
        <f>SUM($I$38:$I$40)</f>
        <v>646216.97732400009</v>
      </c>
      <c r="J41" s="162">
        <f>SUM($J$38:$J$40)</f>
        <v>4198820.5773240002</v>
      </c>
      <c r="K41" s="259"/>
      <c r="L41" s="195">
        <f>SUM($L$38:$L$40)</f>
        <v>51250</v>
      </c>
      <c r="M41" s="162">
        <f>SUM($M$38:$M$40)</f>
        <v>-22489.887000000028</v>
      </c>
      <c r="N41" s="162">
        <f>SUM(L41:M41)</f>
        <v>28760.112999999972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5</v>
      </c>
      <c r="G43" s="206">
        <f>G51-G41</f>
        <v>365551.64055651193</v>
      </c>
      <c r="H43" s="159">
        <f>H51-H41</f>
        <v>61624.615616787691</v>
      </c>
      <c r="I43" s="159">
        <f>I51-I41</f>
        <v>77703.166502700187</v>
      </c>
      <c r="J43" s="159">
        <f>SUM(G43:I43)</f>
        <v>504879.42267599981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10.7%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5</v>
      </c>
      <c r="G44" s="206">
        <f>G60-G41</f>
        <v>365596.39999999991</v>
      </c>
      <c r="H44" s="159">
        <f>H60-H41</f>
        <v>61600</v>
      </c>
      <c r="I44" s="159">
        <f>I60-I41</f>
        <v>77683.022675999906</v>
      </c>
      <c r="J44" s="159">
        <f>SUM(G44:I44)</f>
        <v>504879.42267599981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10.7%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5</v>
      </c>
      <c r="G45" s="206">
        <f>G67-G41-G63</f>
        <v>365596.39999999991</v>
      </c>
      <c r="H45" s="206">
        <f>H67-H41-H63</f>
        <v>61600</v>
      </c>
      <c r="I45" s="206">
        <f>I67-I41-I63</f>
        <v>77683.022675999906</v>
      </c>
      <c r="J45" s="159">
        <f>SUM(G45:I45)</f>
        <v>504879.42267599981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10.7%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4703700</v>
      </c>
      <c r="F51" s="272">
        <f>AppropFTP</f>
        <v>46</v>
      </c>
      <c r="G51" s="274">
        <f>IF(E51=0,0,(G41/$J$41)*$E$51)</f>
        <v>3405655.240556512</v>
      </c>
      <c r="H51" s="274">
        <f>IF(E51=0,0,(H41/$J$41)*$E$51)</f>
        <v>574124.61561678769</v>
      </c>
      <c r="I51" s="275">
        <f>IF(E51=0,0,(I41/$J$41)*$E$51)</f>
        <v>723920.14382670028</v>
      </c>
      <c r="J51" s="90">
        <f>SUM(G51:I51)</f>
        <v>4703700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46</v>
      </c>
      <c r="G52" s="79">
        <f>ROUND(G51,-2)</f>
        <v>3405700</v>
      </c>
      <c r="H52" s="79">
        <f>ROUND(H51,-2)</f>
        <v>574100</v>
      </c>
      <c r="I52" s="266">
        <f>ROUND(I51,-2)</f>
        <v>723900</v>
      </c>
      <c r="J52" s="80">
        <f>ROUND(J51,-2)</f>
        <v>4703700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46</v>
      </c>
      <c r="G56" s="80">
        <f>SUM(G52:G55)</f>
        <v>3405700</v>
      </c>
      <c r="H56" s="80">
        <f>SUM(H52:H55)</f>
        <v>574100</v>
      </c>
      <c r="I56" s="260">
        <f>SUM(I52:I55)</f>
        <v>723900</v>
      </c>
      <c r="J56" s="80">
        <f>SUM(J52:J55)</f>
        <v>4703700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46</v>
      </c>
      <c r="G60" s="80">
        <f>SUM(G56:G59)</f>
        <v>3405700</v>
      </c>
      <c r="H60" s="80">
        <f>SUM(H56:H59)</f>
        <v>574100</v>
      </c>
      <c r="I60" s="260">
        <f>SUM(I56:I59)</f>
        <v>723900</v>
      </c>
      <c r="J60" s="80">
        <f>SUM(J56:J59)</f>
        <v>4703700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46</v>
      </c>
      <c r="G67" s="80">
        <f>SUM(G60:G64)</f>
        <v>3405700</v>
      </c>
      <c r="H67" s="80">
        <f>SUM(H60:H64)</f>
        <v>574100</v>
      </c>
      <c r="I67" s="80">
        <f>SUM(I60:I64)</f>
        <v>723900</v>
      </c>
      <c r="J67" s="80">
        <f>SUM(J60:J64)</f>
        <v>4703700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51300</v>
      </c>
      <c r="I68" s="113"/>
      <c r="J68" s="287">
        <f>SUM(G68:I68)</f>
        <v>51300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-22500</v>
      </c>
      <c r="J69" s="287">
        <f>SUM(G69:I69)</f>
        <v>-22500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26700</v>
      </c>
      <c r="H72" s="287"/>
      <c r="I72" s="287">
        <f>ROUND(($G72*PermVBBY+$G72*Retire1BY),-2)</f>
        <v>5500</v>
      </c>
      <c r="J72" s="113">
        <f>SUM(G72:I72)</f>
        <v>32200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46</v>
      </c>
      <c r="G75" s="80">
        <f>SUM(G67:G74)</f>
        <v>3432500</v>
      </c>
      <c r="H75" s="80">
        <f>SUM(H67:H74)</f>
        <v>625400</v>
      </c>
      <c r="I75" s="80">
        <f>SUM(I67:I74)</f>
        <v>706900</v>
      </c>
      <c r="J75" s="80">
        <f>SUM(J67:K74)</f>
        <v>4764800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46</v>
      </c>
      <c r="G80" s="80">
        <f>SUM(G75:G79)</f>
        <v>3432500</v>
      </c>
      <c r="H80" s="80">
        <f>SUM(H75:H79)</f>
        <v>625400</v>
      </c>
      <c r="I80" s="80">
        <f>SUM(I75:I79)</f>
        <v>706900</v>
      </c>
      <c r="J80" s="80">
        <f>SUM(J75:J79)</f>
        <v>4764800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5" priority="8">
      <formula>$J$44&lt;0</formula>
    </cfRule>
  </conditionalFormatting>
  <conditionalFormatting sqref="K43">
    <cfRule type="expression" dxfId="24" priority="7">
      <formula>$J$43&lt;0</formula>
    </cfRule>
  </conditionalFormatting>
  <conditionalFormatting sqref="L16">
    <cfRule type="expression" dxfId="23" priority="6">
      <formula>$J$16&lt;0</formula>
    </cfRule>
  </conditionalFormatting>
  <conditionalFormatting sqref="K45">
    <cfRule type="expression" dxfId="22" priority="5">
      <formula>$J$44&lt;0</formula>
    </cfRule>
  </conditionalFormatting>
  <conditionalFormatting sqref="K43:N45">
    <cfRule type="containsText" dxfId="21" priority="4" operator="containsText" text="underfunding">
      <formula>NOT(ISERROR(SEARCH("underfunding",K43)))</formula>
    </cfRule>
  </conditionalFormatting>
  <conditionalFormatting sqref="K44">
    <cfRule type="expression" dxfId="20" priority="3">
      <formula>$J$44&lt;0</formula>
    </cfRule>
  </conditionalFormatting>
  <conditionalFormatting sqref="K45">
    <cfRule type="expression" dxfId="19" priority="2">
      <formula>$J$44&lt;0</formula>
    </cfRule>
  </conditionalFormatting>
  <conditionalFormatting sqref="K45">
    <cfRule type="expression" dxfId="1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40A6A5-208A-4D57-82B1-E20D3A4D000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3C39-5AA7-44D4-BD76-33692850700A}">
  <sheetPr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473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900</v>
      </c>
      <c r="N1" s="409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473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482</v>
      </c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474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480</v>
      </c>
      <c r="J5" s="412"/>
      <c r="K5" s="412"/>
      <c r="L5" s="411"/>
      <c r="M5" s="352" t="s">
        <v>113</v>
      </c>
      <c r="N5" s="32" t="s">
        <v>481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"&amp;'PCAB|0348-00'!FiscalYear-1&amp;" SALARY"</f>
        <v>FY 2023 SALARY</v>
      </c>
      <c r="H8" s="50" t="str">
        <f>"FY "&amp;'PCAB|0348-00'!FiscalYear-1&amp;" HEALTH BENEFITS"</f>
        <v>FY 2023 HEALTH BENEFITS</v>
      </c>
      <c r="I8" s="50" t="str">
        <f>"FY "&amp;'PCAB|0348-00'!FiscalYear-1&amp;" VAR BENEFITS"</f>
        <v>FY 2023 VAR BENEFITS</v>
      </c>
      <c r="J8" s="50" t="str">
        <f>"FY "&amp;'PCAB|0348-00'!FiscalYear-1&amp;" TOTAL"</f>
        <v>FY 2023 TOTAL</v>
      </c>
      <c r="K8" s="50" t="str">
        <f>"FY "&amp;'PCAB|0348-00'!FiscalYear&amp;" SALARY CHANGE"</f>
        <v>FY 2024 SALARY CHANGE</v>
      </c>
      <c r="L8" s="50" t="str">
        <f>"FY "&amp;'PCAB|0348-00'!FiscalYear&amp;" CHG HEALTH BENEFITS"</f>
        <v>FY 2024 CHG HEALTH BENEFITS</v>
      </c>
      <c r="M8" s="50" t="str">
        <f>"FY "&amp;'PCAB|0348-00'!FiscalYear&amp;"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f>[0]!PCAB034800col_INC_FTI</f>
        <v>0</v>
      </c>
      <c r="G10" s="218">
        <f>[0]!PCAB034800col_FTI_SALARY_PERM</f>
        <v>0</v>
      </c>
      <c r="H10" s="218">
        <f>[0]!PCAB034800col_HEALTH_PERM</f>
        <v>0</v>
      </c>
      <c r="I10" s="218">
        <f>[0]!PCAB034800col_TOT_VB_PERM</f>
        <v>0</v>
      </c>
      <c r="J10" s="219">
        <f>SUM(G10:I10)</f>
        <v>0</v>
      </c>
      <c r="K10" s="219">
        <f>[0]!PCAB034800col_1_27TH_PP</f>
        <v>0</v>
      </c>
      <c r="L10" s="218">
        <f>[0]!PCAB034800col_HEALTH_PERM_CHG</f>
        <v>0</v>
      </c>
      <c r="M10" s="218">
        <f>[0]!PCAB034800col_TOT_VB_PERM_CHG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f>[0]!PCAB034800col_Group_Salary</f>
        <v>0</v>
      </c>
      <c r="H11" s="218">
        <v>0</v>
      </c>
      <c r="I11" s="218">
        <f>[0]!PCAB034800col_Group_Ben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f>[0]!PCAB034800col_TOTAL_ELECT_PCN_FTI</f>
        <v>0</v>
      </c>
      <c r="G12" s="218">
        <f>[0]!PCAB034800col_FTI_SALARY_ELECT</f>
        <v>0</v>
      </c>
      <c r="H12" s="218">
        <f>[0]!PCAB034800col_HEALTH_ELECT</f>
        <v>0</v>
      </c>
      <c r="I12" s="218">
        <f>[0]!PCAB034800col_TOT_VB_ELECT</f>
        <v>0</v>
      </c>
      <c r="J12" s="219">
        <f>SUM(G12:I12)</f>
        <v>0</v>
      </c>
      <c r="K12" s="268"/>
      <c r="L12" s="218">
        <f>[0]!PCAB034800col_HEALTH_ELECT_CHG</f>
        <v>0</v>
      </c>
      <c r="M12" s="218">
        <f>[0]!PCAB034800col_TOT_VB_ELECT_CHG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"&amp;'PCAB|0348-00'!FiscalYear-1</f>
        <v>FY 2023</v>
      </c>
      <c r="D15" s="158" t="s">
        <v>31</v>
      </c>
      <c r="E15" s="355">
        <v>289200</v>
      </c>
      <c r="F15" s="55">
        <v>3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3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IF('PCAB|0348-00'!OrigApprop=0,"No Original Appropriation amount in DU 3.00 for this fund","Calculated "&amp;IF('PCAB|0348-00'!AdjustedTotal&gt;0,"overfunding ","underfunding ")&amp;"is "&amp;TEXT('PCAB|0348-00'!AdjustedTotal/'PCAB|0348-00'!AppropTotal,"#.0%;(#.0%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3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19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3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19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3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19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289200</v>
      </c>
      <c r="F51" s="272">
        <f>AppropFTP</f>
        <v>3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3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7" priority="8">
      <formula>$J$44&lt;0</formula>
    </cfRule>
  </conditionalFormatting>
  <conditionalFormatting sqref="K43">
    <cfRule type="expression" dxfId="16" priority="7">
      <formula>$J$43&lt;0</formula>
    </cfRule>
  </conditionalFormatting>
  <conditionalFormatting sqref="L16">
    <cfRule type="expression" dxfId="15" priority="6">
      <formula>$J$16&lt;0</formula>
    </cfRule>
  </conditionalFormatting>
  <conditionalFormatting sqref="K45">
    <cfRule type="expression" dxfId="14" priority="5">
      <formula>$J$44&lt;0</formula>
    </cfRule>
  </conditionalFormatting>
  <conditionalFormatting sqref="K43:N45">
    <cfRule type="containsText" dxfId="13" priority="4" operator="containsText" text="underfunding">
      <formula>NOT(ISERROR(SEARCH("underfunding",K43)))</formula>
    </cfRule>
  </conditionalFormatting>
  <conditionalFormatting sqref="K44">
    <cfRule type="expression" dxfId="12" priority="3">
      <formula>$J$44&lt;0</formula>
    </cfRule>
  </conditionalFormatting>
  <conditionalFormatting sqref="K45">
    <cfRule type="expression" dxfId="11" priority="2">
      <formula>$J$44&lt;0</formula>
    </cfRule>
  </conditionalFormatting>
  <conditionalFormatting sqref="K45">
    <cfRule type="expression" dxfId="1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4EE73D-AB40-476E-810B-ACEAC482147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S80"/>
  <sheetViews>
    <sheetView workbookViewId="0">
      <pane xSplit="3" ySplit="1" topLeftCell="AO37" activePane="bottomRight" state="frozen"/>
      <selection pane="topRight" activeCell="D1" sqref="D1"/>
      <selection pane="bottomLeft" activeCell="A2" sqref="A2"/>
      <selection pane="bottomRight" activeCell="AP55" sqref="AP55"/>
    </sheetView>
  </sheetViews>
  <sheetFormatPr defaultRowHeight="15"/>
  <cols>
    <col min="45" max="53" width="15.7109375" customWidth="1"/>
    <col min="54" max="54" width="12" bestFit="1" customWidth="1"/>
    <col min="55" max="55" width="10.85546875" bestFit="1" customWidth="1"/>
    <col min="56" max="56" width="12" bestFit="1" customWidth="1"/>
    <col min="57" max="57" width="10.85546875" bestFit="1" customWidth="1"/>
    <col min="58" max="58" width="12" bestFit="1" customWidth="1"/>
    <col min="59" max="59" width="10.85546875" bestFit="1" customWidth="1"/>
    <col min="60" max="60" width="9.28515625" bestFit="1" customWidth="1"/>
    <col min="61" max="62" width="10.85546875" bestFit="1" customWidth="1"/>
    <col min="63" max="63" width="9.28515625" bestFit="1" customWidth="1"/>
    <col min="64" max="64" width="12" bestFit="1" customWidth="1"/>
    <col min="65" max="65" width="10.85546875" bestFit="1" customWidth="1"/>
    <col min="66" max="66" width="12" bestFit="1" customWidth="1"/>
    <col min="67" max="67" width="10.85546875" bestFit="1" customWidth="1"/>
    <col min="68" max="68" width="12" bestFit="1" customWidth="1"/>
    <col min="69" max="69" width="10.85546875" bestFit="1" customWidth="1"/>
    <col min="70" max="70" width="12" bestFit="1" customWidth="1"/>
    <col min="71" max="71" width="10.85546875" bestFit="1" customWidth="1"/>
    <col min="72" max="72" width="9.28515625" bestFit="1" customWidth="1"/>
    <col min="73" max="74" width="10.85546875" bestFit="1" customWidth="1"/>
    <col min="75" max="75" width="9.28515625" bestFit="1" customWidth="1"/>
    <col min="76" max="76" width="12" bestFit="1" customWidth="1"/>
    <col min="77" max="78" width="10.85546875" bestFit="1" customWidth="1"/>
    <col min="79" max="79" width="9.7109375" bestFit="1" customWidth="1"/>
    <col min="80" max="81" width="9.28515625" bestFit="1" customWidth="1"/>
    <col min="82" max="82" width="11.5703125" bestFit="1" customWidth="1"/>
    <col min="83" max="87" width="9.28515625" bestFit="1" customWidth="1"/>
    <col min="88" max="88" width="11.5703125" bestFit="1" customWidth="1"/>
    <col min="89" max="89" width="10.42578125" bestFit="1" customWidth="1"/>
    <col min="90" max="90" width="9.7109375" bestFit="1" customWidth="1"/>
    <col min="91" max="91" width="9.28515625" bestFit="1" customWidth="1"/>
  </cols>
  <sheetData>
    <row r="1" spans="1:92" ht="12.75" customHeight="1" thickBot="1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423</v>
      </c>
      <c r="AT1" s="387" t="s">
        <v>424</v>
      </c>
      <c r="AU1" s="387" t="s">
        <v>425</v>
      </c>
      <c r="AV1" s="387" t="s">
        <v>426</v>
      </c>
      <c r="AW1" s="387" t="s">
        <v>427</v>
      </c>
      <c r="AX1" s="387" t="s">
        <v>428</v>
      </c>
      <c r="AY1" s="387" t="s">
        <v>429</v>
      </c>
      <c r="AZ1" s="387" t="s">
        <v>430</v>
      </c>
      <c r="BA1" s="389" t="s">
        <v>431</v>
      </c>
      <c r="BB1" s="390" t="s">
        <v>432</v>
      </c>
      <c r="BC1" s="390" t="s">
        <v>433</v>
      </c>
      <c r="BD1" s="390" t="s">
        <v>434</v>
      </c>
      <c r="BE1" s="390" t="s">
        <v>435</v>
      </c>
      <c r="BF1" s="390" t="s">
        <v>436</v>
      </c>
      <c r="BG1" s="390" t="s">
        <v>437</v>
      </c>
      <c r="BH1" s="390" t="s">
        <v>438</v>
      </c>
      <c r="BI1" s="390" t="s">
        <v>439</v>
      </c>
      <c r="BJ1" s="390" t="s">
        <v>440</v>
      </c>
      <c r="BK1" s="390" t="s">
        <v>441</v>
      </c>
      <c r="BL1" s="391" t="s">
        <v>442</v>
      </c>
      <c r="BM1" s="391" t="s">
        <v>443</v>
      </c>
      <c r="BN1" s="390" t="s">
        <v>444</v>
      </c>
      <c r="BO1" s="390" t="s">
        <v>445</v>
      </c>
      <c r="BP1" s="390" t="s">
        <v>446</v>
      </c>
      <c r="BQ1" s="390" t="s">
        <v>447</v>
      </c>
      <c r="BR1" s="390" t="s">
        <v>448</v>
      </c>
      <c r="BS1" s="390" t="s">
        <v>449</v>
      </c>
      <c r="BT1" s="390" t="s">
        <v>450</v>
      </c>
      <c r="BU1" s="390" t="s">
        <v>451</v>
      </c>
      <c r="BV1" s="390" t="s">
        <v>452</v>
      </c>
      <c r="BW1" s="390" t="s">
        <v>453</v>
      </c>
      <c r="BX1" s="391" t="s">
        <v>454</v>
      </c>
      <c r="BY1" s="391" t="s">
        <v>455</v>
      </c>
      <c r="BZ1" s="390" t="s">
        <v>456</v>
      </c>
      <c r="CA1" s="390" t="s">
        <v>457</v>
      </c>
      <c r="CB1" s="390" t="s">
        <v>458</v>
      </c>
      <c r="CC1" s="390" t="s">
        <v>459</v>
      </c>
      <c r="CD1" s="390" t="s">
        <v>460</v>
      </c>
      <c r="CE1" s="390" t="s">
        <v>461</v>
      </c>
      <c r="CF1" s="390" t="s">
        <v>462</v>
      </c>
      <c r="CG1" s="390" t="s">
        <v>463</v>
      </c>
      <c r="CH1" s="390" t="s">
        <v>464</v>
      </c>
      <c r="CI1" s="390" t="s">
        <v>465</v>
      </c>
      <c r="CJ1" s="391" t="s">
        <v>466</v>
      </c>
      <c r="CK1" s="391" t="s">
        <v>467</v>
      </c>
      <c r="CL1" s="392" t="s">
        <v>468</v>
      </c>
      <c r="CM1" s="392" t="s">
        <v>469</v>
      </c>
      <c r="CN1" s="392" t="s">
        <v>470</v>
      </c>
    </row>
    <row r="2" spans="1:92" ht="15.75" thickBot="1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1</v>
      </c>
      <c r="Q2" s="386">
        <v>1</v>
      </c>
      <c r="R2" s="381">
        <v>80</v>
      </c>
      <c r="S2" s="386">
        <v>1</v>
      </c>
      <c r="T2" s="381">
        <v>55896.85</v>
      </c>
      <c r="U2" s="381">
        <v>0</v>
      </c>
      <c r="V2" s="381">
        <v>23692.720000000001</v>
      </c>
      <c r="W2" s="381">
        <v>62691.199999999997</v>
      </c>
      <c r="X2" s="381">
        <v>25956.63</v>
      </c>
      <c r="Y2" s="381">
        <v>62691.199999999997</v>
      </c>
      <c r="Z2" s="381">
        <v>26736.45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30.14</v>
      </c>
      <c r="AI2" s="382">
        <v>32960.5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1</v>
      </c>
      <c r="AR2" s="384" t="s">
        <v>184</v>
      </c>
      <c r="AS2" s="388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IF(AT2=0,"",IF(AND(AT2=1,M2="F",SUMIF(C2:C53,C2,AS2:AS53)&lt;=1),SUMIF(C2:C53,C2,AS2:AS53),IF(AND(AT2=1,M2="F",SUMIF(C2:C53,C2,AS2:AS53)&gt;1),1,"")))</f>
        <v>1</v>
      </c>
      <c r="AV2" s="388" t="str">
        <f>IF(AT2=0,"",IF(AND(AT2=3,M2="F",SUMIF(C2:C53,C2,AS2:AS53)&lt;=1),SUMIF(C2:C53,C2,AS2:AS53),IF(AND(AT2=3,M2="F",SUMIF(C2:C53,C2,AS2:AS53)&gt;1),1,"")))</f>
        <v/>
      </c>
      <c r="AW2" s="388">
        <f>SUMIF(C2:C53,C2,O2:O53)</f>
        <v>1</v>
      </c>
      <c r="AX2" s="388">
        <f>IF(AND(M2="F",AS2&lt;&gt;0),SUMIF(C2:C53,C2,W2:W53),0)</f>
        <v>62691.199999999997</v>
      </c>
      <c r="AY2" s="388">
        <f>IF(AT2=1,W2,"")</f>
        <v>62691.199999999997</v>
      </c>
      <c r="AZ2" s="388" t="str">
        <f>IF(AT2=3,W2,"")</f>
        <v/>
      </c>
      <c r="BA2" s="388">
        <f>IF(AT2=1,Y2-W2,0)</f>
        <v>0</v>
      </c>
      <c r="BB2" s="388">
        <f t="shared" ref="BB2:BB33" si="0">IF(AND(AT2=1,AK2="E",AU2&gt;=0.75,AW2=1),Health,IF(AND(AT2=1,AK2="E",AU2&gt;=0.75),Health*P2,IF(AND(AT2=1,AK2="E",AU2&gt;=0.5,AW2=1),PTHealth,IF(AND(AT2=1,AK2="E",AU2&gt;=0.5),PTHealth*P2,0))))</f>
        <v>12500</v>
      </c>
      <c r="BC2" s="388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33" si="2">IF(AND(AT2&lt;&gt;0,AX2&gt;=MAXSSDI),SSDI*MAXSSDI*P2,IF(AT2&lt;&gt;0,SSDI*W2,0))</f>
        <v>3886.8543999999997</v>
      </c>
      <c r="BE2" s="388">
        <f t="shared" ref="BE2:BE33" si="3">IF(AT2&lt;&gt;0,SSHI*W2,0)</f>
        <v>909.02239999999995</v>
      </c>
      <c r="BF2" s="388">
        <f t="shared" ref="BF2:BF33" si="4">IF(AND(AT2&lt;&gt;0,AN2&lt;&gt;"NE"),VLOOKUP(AN2,Retirement_Rates,3,FALSE)*W2,0)</f>
        <v>7485.3292799999999</v>
      </c>
      <c r="BG2" s="388">
        <f t="shared" ref="BG2:BG33" si="5">IF(AND(AT2&lt;&gt;0,AJ2&lt;&gt;"PF"),Life*W2,0)</f>
        <v>452.00355200000001</v>
      </c>
      <c r="BH2" s="388">
        <f t="shared" ref="BH2:BH33" si="6">IF(AND(AT2&lt;&gt;0,AM2="Y"),UI*W2,0)</f>
        <v>0</v>
      </c>
      <c r="BI2" s="388">
        <f t="shared" ref="BI2:BI33" si="7">IF(AND(AT2&lt;&gt;0,N2&lt;&gt;"NR"),DHR*W2,0)</f>
        <v>346.99579199999999</v>
      </c>
      <c r="BJ2" s="388">
        <f t="shared" ref="BJ2:BJ33" si="8">IF(AT2&lt;&gt;0,WC*W2,0)</f>
        <v>376.1472</v>
      </c>
      <c r="BK2" s="388">
        <f t="shared" ref="BK2:BK33" si="9">IF(OR(AND(AT2&lt;&gt;0,AJ2&lt;&gt;"PF",AN2&lt;&gt;"NE",AG2&lt;&gt;"A"),AND(AL2="E",OR(AT2=1,AT2=3))),Sick*W2,0)</f>
        <v>0</v>
      </c>
      <c r="BL2" s="388">
        <f>IF(AT2=1,SUM(BD2:BK2),0)</f>
        <v>13456.352623999999</v>
      </c>
      <c r="BM2" s="388">
        <f>IF(AT2=3,SUM(BD2:BK2),0)</f>
        <v>0</v>
      </c>
      <c r="BN2" s="388">
        <f t="shared" ref="BN2:BN33" si="10">IF(AND(AT2=1,AK2="E",AU2&gt;=0.75,AW2=1),HealthBY,IF(AND(AT2=1,AK2="E",AU2&gt;=0.75),HealthBY*P2,IF(AND(AT2=1,AK2="E",AU2&gt;=0.5,AW2=1),PTHealthBY,IF(AND(AT2=1,AK2="E",AU2&gt;=0.5),PTHealthBY*P2,0))))</f>
        <v>13750</v>
      </c>
      <c r="BO2" s="388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33" si="12">IF(AND(AT2&lt;&gt;0,(AX2+BA2)&gt;=MAXSSDIBY),SSDIBY*MAXSSDIBY*P2,IF(AT2&lt;&gt;0,SSDIBY*W2,0))</f>
        <v>3886.8543999999997</v>
      </c>
      <c r="BQ2" s="388">
        <f t="shared" ref="BQ2:BQ33" si="13">IF(AT2&lt;&gt;0,SSHIBY*W2,0)</f>
        <v>909.02239999999995</v>
      </c>
      <c r="BR2" s="388">
        <f t="shared" ref="BR2:BR33" si="14">IF(AND(AT2&lt;&gt;0,AN2&lt;&gt;"NE"),VLOOKUP(AN2,Retirement_Rates,4,FALSE)*W2,0)</f>
        <v>7008.8761599999998</v>
      </c>
      <c r="BS2" s="388">
        <f t="shared" ref="BS2:BS33" si="15">IF(AND(AT2&lt;&gt;0,AJ2&lt;&gt;"PF"),LifeBY*W2,0)</f>
        <v>452.00355200000001</v>
      </c>
      <c r="BT2" s="388">
        <f t="shared" ref="BT2:BT33" si="16">IF(AND(AT2&lt;&gt;0,AM2="Y"),UIBY*W2,0)</f>
        <v>0</v>
      </c>
      <c r="BU2" s="388">
        <f t="shared" ref="BU2:BU33" si="17">IF(AND(AT2&lt;&gt;0,N2&lt;&gt;"NR"),DHRBY*W2,0)</f>
        <v>346.99579199999999</v>
      </c>
      <c r="BV2" s="388">
        <f t="shared" ref="BV2:BV33" si="18">IF(AT2&lt;&gt;0,WCBY*W2,0)</f>
        <v>382.41631999999998</v>
      </c>
      <c r="BW2" s="388">
        <f t="shared" ref="BW2:BW33" si="19">IF(OR(AND(AT2&lt;&gt;0,AJ2&lt;&gt;"PF",AN2&lt;&gt;"NE",AG2&lt;&gt;"A"),AND(AL2="E",OR(AT2=1,AT2=3))),SickBY*W2,0)</f>
        <v>0</v>
      </c>
      <c r="BX2" s="388">
        <f>IF(AT2=1,SUM(BP2:BW2),0)</f>
        <v>12986.168624</v>
      </c>
      <c r="BY2" s="388">
        <f>IF(AT2=3,SUM(BP2:BW2),0)</f>
        <v>0</v>
      </c>
      <c r="BZ2" s="388">
        <f>IF(AT2=1,BN2-BB2,0)</f>
        <v>1250</v>
      </c>
      <c r="CA2" s="388">
        <f>IF(AT2=3,BO2-BC2,0)</f>
        <v>0</v>
      </c>
      <c r="CB2" s="388">
        <f>BP2-BD2</f>
        <v>0</v>
      </c>
      <c r="CC2" s="388">
        <f t="shared" ref="CC2:CC33" si="20">IF(AT2&lt;&gt;0,SSHICHG*Y2,0)</f>
        <v>0</v>
      </c>
      <c r="CD2" s="388">
        <f t="shared" ref="CD2:CD33" si="21">IF(AND(AT2&lt;&gt;0,AN2&lt;&gt;"NE"),VLOOKUP(AN2,Retirement_Rates,5,FALSE)*Y2,0)</f>
        <v>-476.45312000000058</v>
      </c>
      <c r="CE2" s="388">
        <f t="shared" ref="CE2:CE33" si="22">IF(AND(AT2&lt;&gt;0,AJ2&lt;&gt;"PF"),LifeCHG*Y2,0)</f>
        <v>0</v>
      </c>
      <c r="CF2" s="388">
        <f t="shared" ref="CF2:CF33" si="23">IF(AND(AT2&lt;&gt;0,AM2="Y"),UICHG*Y2,0)</f>
        <v>0</v>
      </c>
      <c r="CG2" s="388">
        <f t="shared" ref="CG2:CG33" si="24">IF(AND(AT2&lt;&gt;0,N2&lt;&gt;"NR"),DHRCHG*Y2,0)</f>
        <v>0</v>
      </c>
      <c r="CH2" s="388">
        <f t="shared" ref="CH2:CH33" si="25">IF(AT2&lt;&gt;0,WCCHG*Y2,0)</f>
        <v>6.269120000000016</v>
      </c>
      <c r="CI2" s="388">
        <f t="shared" ref="CI2:CI33" si="26">IF(OR(AND(AT2&lt;&gt;0,AJ2&lt;&gt;"PF",AN2&lt;&gt;"NE",AG2&lt;&gt;"A"),AND(AL2="E",OR(AT2=1,AT2=3))),SickCHG*Y2,0)</f>
        <v>0</v>
      </c>
      <c r="CJ2" s="388">
        <f>IF(AT2=1,SUM(CB2:CI2),0)</f>
        <v>-470.18400000000054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0229-20</v>
      </c>
    </row>
    <row r="3" spans="1:92" ht="15.75" thickBot="1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188</v>
      </c>
      <c r="M3" s="377" t="s">
        <v>172</v>
      </c>
      <c r="N3" s="377" t="s">
        <v>173</v>
      </c>
      <c r="O3" s="380">
        <v>1</v>
      </c>
      <c r="P3" s="386">
        <v>1</v>
      </c>
      <c r="Q3" s="386">
        <v>1</v>
      </c>
      <c r="R3" s="381">
        <v>80</v>
      </c>
      <c r="S3" s="386">
        <v>1</v>
      </c>
      <c r="T3" s="381">
        <v>71347.02</v>
      </c>
      <c r="U3" s="381">
        <v>0</v>
      </c>
      <c r="V3" s="381">
        <v>27106.87</v>
      </c>
      <c r="W3" s="381">
        <v>79435.199999999997</v>
      </c>
      <c r="X3" s="381">
        <v>29550.75</v>
      </c>
      <c r="Y3" s="381">
        <v>79435.199999999997</v>
      </c>
      <c r="Z3" s="381">
        <v>30204.98</v>
      </c>
      <c r="AA3" s="377" t="s">
        <v>189</v>
      </c>
      <c r="AB3" s="377" t="s">
        <v>190</v>
      </c>
      <c r="AC3" s="377" t="s">
        <v>191</v>
      </c>
      <c r="AD3" s="377" t="s">
        <v>192</v>
      </c>
      <c r="AE3" s="377" t="s">
        <v>187</v>
      </c>
      <c r="AF3" s="377" t="s">
        <v>193</v>
      </c>
      <c r="AG3" s="377" t="s">
        <v>179</v>
      </c>
      <c r="AH3" s="382">
        <v>38.19</v>
      </c>
      <c r="AI3" s="382">
        <v>20158.7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6">
        <v>1</v>
      </c>
      <c r="AQ3" s="386">
        <v>1</v>
      </c>
      <c r="AR3" s="384" t="s">
        <v>184</v>
      </c>
      <c r="AS3" s="388">
        <f t="shared" ref="AS3:AS53" si="27">IF(((AO3/80)*AP3*P3)&gt;1,AQ3,((AO3/80)*AP3*P3))</f>
        <v>1</v>
      </c>
      <c r="AT3">
        <f t="shared" ref="AT3:AT53" si="28">IF(AND(M3="F",N3&lt;&gt;"NG",AS3&lt;&gt;0,AND(AR3&lt;&gt;6,AR3&lt;&gt;36,AR3&lt;&gt;56),AG3&lt;&gt;"A",OR(AG3="H",AJ3="FS")),1,IF(AND(M3="F",N3&lt;&gt;"NG",AS3&lt;&gt;0,AG3="A"),3,0))</f>
        <v>1</v>
      </c>
      <c r="AU3" s="388">
        <f>IF(AT3=0,"",IF(AND(AT3=1,M3="F",SUMIF(C2:C53,C3,AS2:AS53)&lt;=1),SUMIF(C2:C53,C3,AS2:AS53),IF(AND(AT3=1,M3="F",SUMIF(C2:C53,C3,AS2:AS53)&gt;1),1,"")))</f>
        <v>1</v>
      </c>
      <c r="AV3" s="388" t="str">
        <f>IF(AT3=0,"",IF(AND(AT3=3,M3="F",SUMIF(C2:C53,C3,AS2:AS53)&lt;=1),SUMIF(C2:C53,C3,AS2:AS53),IF(AND(AT3=3,M3="F",SUMIF(C2:C53,C3,AS2:AS53)&gt;1),1,"")))</f>
        <v/>
      </c>
      <c r="AW3" s="388">
        <f>SUMIF(C2:C53,C3,O2:O53)</f>
        <v>1</v>
      </c>
      <c r="AX3" s="388">
        <f>IF(AND(M3="F",AS3&lt;&gt;0),SUMIF(C2:C53,C3,W2:W53),0)</f>
        <v>79435.199999999997</v>
      </c>
      <c r="AY3" s="388">
        <f t="shared" ref="AY3:AY53" si="29">IF(AT3=1,W3,"")</f>
        <v>79435.199999999997</v>
      </c>
      <c r="AZ3" s="388" t="str">
        <f t="shared" ref="AZ3:AZ53" si="30">IF(AT3=3,W3,"")</f>
        <v/>
      </c>
      <c r="BA3" s="388">
        <f t="shared" ref="BA3:BA53" si="31">IF(AT3=1,Y3-W3,0)</f>
        <v>0</v>
      </c>
      <c r="BB3" s="388">
        <f t="shared" si="0"/>
        <v>12500</v>
      </c>
      <c r="BC3" s="388">
        <f t="shared" si="1"/>
        <v>0</v>
      </c>
      <c r="BD3" s="388">
        <f t="shared" si="2"/>
        <v>4924.9823999999999</v>
      </c>
      <c r="BE3" s="388">
        <f t="shared" si="3"/>
        <v>1151.8104000000001</v>
      </c>
      <c r="BF3" s="388">
        <f t="shared" si="4"/>
        <v>9484.5628799999995</v>
      </c>
      <c r="BG3" s="388">
        <f t="shared" si="5"/>
        <v>572.72779200000002</v>
      </c>
      <c r="BH3" s="388">
        <f t="shared" si="6"/>
        <v>0</v>
      </c>
      <c r="BI3" s="388">
        <f t="shared" si="7"/>
        <v>439.673832</v>
      </c>
      <c r="BJ3" s="388">
        <f t="shared" si="8"/>
        <v>476.6112</v>
      </c>
      <c r="BK3" s="388">
        <f t="shared" si="9"/>
        <v>0</v>
      </c>
      <c r="BL3" s="388">
        <f t="shared" ref="BL3:BL53" si="32">IF(AT3=1,SUM(BD3:BK3),0)</f>
        <v>17050.368503999998</v>
      </c>
      <c r="BM3" s="388">
        <f t="shared" ref="BM3:BM53" si="33">IF(AT3=3,SUM(BD3:BK3),0)</f>
        <v>0</v>
      </c>
      <c r="BN3" s="388">
        <f t="shared" si="10"/>
        <v>13750</v>
      </c>
      <c r="BO3" s="388">
        <f t="shared" si="11"/>
        <v>0</v>
      </c>
      <c r="BP3" s="388">
        <f t="shared" si="12"/>
        <v>4924.9823999999999</v>
      </c>
      <c r="BQ3" s="388">
        <f t="shared" si="13"/>
        <v>1151.8104000000001</v>
      </c>
      <c r="BR3" s="388">
        <f t="shared" si="14"/>
        <v>8880.8553599999996</v>
      </c>
      <c r="BS3" s="388">
        <f t="shared" si="15"/>
        <v>572.72779200000002</v>
      </c>
      <c r="BT3" s="388">
        <f t="shared" si="16"/>
        <v>0</v>
      </c>
      <c r="BU3" s="388">
        <f t="shared" si="17"/>
        <v>439.673832</v>
      </c>
      <c r="BV3" s="388">
        <f t="shared" si="18"/>
        <v>484.55472000000003</v>
      </c>
      <c r="BW3" s="388">
        <f t="shared" si="19"/>
        <v>0</v>
      </c>
      <c r="BX3" s="388">
        <f t="shared" ref="BX3:BX53" si="34">IF(AT3=1,SUM(BP3:BW3),0)</f>
        <v>16454.604503999999</v>
      </c>
      <c r="BY3" s="388">
        <f t="shared" ref="BY3:BY53" si="35">IF(AT3=3,SUM(BP3:BW3),0)</f>
        <v>0</v>
      </c>
      <c r="BZ3" s="388">
        <f t="shared" ref="BZ3:BZ53" si="36">IF(AT3=1,BN3-BB3,0)</f>
        <v>1250</v>
      </c>
      <c r="CA3" s="388">
        <f t="shared" ref="CA3:CA53" si="37">IF(AT3=3,BO3-BC3,0)</f>
        <v>0</v>
      </c>
      <c r="CB3" s="388">
        <f t="shared" ref="CB3:CB53" si="38">BP3-BD3</f>
        <v>0</v>
      </c>
      <c r="CC3" s="388">
        <f t="shared" si="20"/>
        <v>0</v>
      </c>
      <c r="CD3" s="388">
        <f t="shared" si="21"/>
        <v>-603.70752000000073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7.9435200000000208</v>
      </c>
      <c r="CI3" s="388">
        <f t="shared" si="26"/>
        <v>0</v>
      </c>
      <c r="CJ3" s="388">
        <f t="shared" ref="CJ3:CJ53" si="39">IF(AT3=1,SUM(CB3:CI3),0)</f>
        <v>-595.76400000000069</v>
      </c>
      <c r="CK3" s="388" t="str">
        <f t="shared" ref="CK3:CK53" si="40">IF(AT3=3,SUM(CB3:CI3),"")</f>
        <v/>
      </c>
      <c r="CL3" s="388" t="str">
        <f t="shared" ref="CL3:CL53" si="41">IF(OR(N3="NG",AG3="D"),(T3+U3),"")</f>
        <v/>
      </c>
      <c r="CM3" s="388" t="str">
        <f t="shared" ref="CM3:CM53" si="42">IF(OR(N3="NG",AG3="D"),V3,"")</f>
        <v/>
      </c>
      <c r="CN3" s="388" t="str">
        <f t="shared" ref="CN3:CN53" si="43">E3 &amp; "-" &amp; F3</f>
        <v>0229-20</v>
      </c>
    </row>
    <row r="4" spans="1:92" ht="15.75" thickBot="1">
      <c r="A4" s="377" t="s">
        <v>162</v>
      </c>
      <c r="B4" s="377" t="s">
        <v>163</v>
      </c>
      <c r="C4" s="377" t="s">
        <v>194</v>
      </c>
      <c r="D4" s="377" t="s">
        <v>186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187</v>
      </c>
      <c r="L4" s="377" t="s">
        <v>188</v>
      </c>
      <c r="M4" s="377" t="s">
        <v>172</v>
      </c>
      <c r="N4" s="377" t="s">
        <v>173</v>
      </c>
      <c r="O4" s="380">
        <v>1</v>
      </c>
      <c r="P4" s="386">
        <v>1</v>
      </c>
      <c r="Q4" s="386">
        <v>1</v>
      </c>
      <c r="R4" s="381">
        <v>80</v>
      </c>
      <c r="S4" s="386">
        <v>1</v>
      </c>
      <c r="T4" s="381">
        <v>65575.710000000006</v>
      </c>
      <c r="U4" s="381">
        <v>0</v>
      </c>
      <c r="V4" s="381">
        <v>25872.73</v>
      </c>
      <c r="W4" s="381">
        <v>77355.199999999997</v>
      </c>
      <c r="X4" s="381">
        <v>29104.28</v>
      </c>
      <c r="Y4" s="381">
        <v>77355.199999999997</v>
      </c>
      <c r="Z4" s="381">
        <v>29774.11</v>
      </c>
      <c r="AA4" s="377" t="s">
        <v>195</v>
      </c>
      <c r="AB4" s="377" t="s">
        <v>196</v>
      </c>
      <c r="AC4" s="377" t="s">
        <v>197</v>
      </c>
      <c r="AD4" s="377" t="s">
        <v>192</v>
      </c>
      <c r="AE4" s="377" t="s">
        <v>187</v>
      </c>
      <c r="AF4" s="377" t="s">
        <v>193</v>
      </c>
      <c r="AG4" s="377" t="s">
        <v>179</v>
      </c>
      <c r="AH4" s="382">
        <v>37.19</v>
      </c>
      <c r="AI4" s="380">
        <v>10733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6">
        <v>1</v>
      </c>
      <c r="AQ4" s="386">
        <v>1</v>
      </c>
      <c r="AR4" s="384" t="s">
        <v>184</v>
      </c>
      <c r="AS4" s="388">
        <f t="shared" si="27"/>
        <v>1</v>
      </c>
      <c r="AT4">
        <f t="shared" si="28"/>
        <v>1</v>
      </c>
      <c r="AU4" s="388">
        <f>IF(AT4=0,"",IF(AND(AT4=1,M4="F",SUMIF(C2:C53,C4,AS2:AS53)&lt;=1),SUMIF(C2:C53,C4,AS2:AS53),IF(AND(AT4=1,M4="F",SUMIF(C2:C53,C4,AS2:AS53)&gt;1),1,"")))</f>
        <v>1</v>
      </c>
      <c r="AV4" s="388" t="str">
        <f>IF(AT4=0,"",IF(AND(AT4=3,M4="F",SUMIF(C2:C53,C4,AS2:AS53)&lt;=1),SUMIF(C2:C53,C4,AS2:AS53),IF(AND(AT4=3,M4="F",SUMIF(C2:C53,C4,AS2:AS53)&gt;1),1,"")))</f>
        <v/>
      </c>
      <c r="AW4" s="388">
        <f>SUMIF(C2:C53,C4,O2:O53)</f>
        <v>1</v>
      </c>
      <c r="AX4" s="388">
        <f>IF(AND(M4="F",AS4&lt;&gt;0),SUMIF(C2:C53,C4,W2:W53),0)</f>
        <v>77355.199999999997</v>
      </c>
      <c r="AY4" s="388">
        <f t="shared" si="29"/>
        <v>77355.199999999997</v>
      </c>
      <c r="AZ4" s="388" t="str">
        <f t="shared" si="30"/>
        <v/>
      </c>
      <c r="BA4" s="388">
        <f t="shared" si="31"/>
        <v>0</v>
      </c>
      <c r="BB4" s="388">
        <f t="shared" si="0"/>
        <v>12500</v>
      </c>
      <c r="BC4" s="388">
        <f t="shared" si="1"/>
        <v>0</v>
      </c>
      <c r="BD4" s="388">
        <f t="shared" si="2"/>
        <v>4796.0223999999998</v>
      </c>
      <c r="BE4" s="388">
        <f t="shared" si="3"/>
        <v>1121.6504</v>
      </c>
      <c r="BF4" s="388">
        <f t="shared" si="4"/>
        <v>9236.2108800000005</v>
      </c>
      <c r="BG4" s="388">
        <f t="shared" si="5"/>
        <v>557.73099200000001</v>
      </c>
      <c r="BH4" s="388">
        <f t="shared" si="6"/>
        <v>0</v>
      </c>
      <c r="BI4" s="388">
        <f t="shared" si="7"/>
        <v>428.16103199999998</v>
      </c>
      <c r="BJ4" s="388">
        <f t="shared" si="8"/>
        <v>464.13119999999998</v>
      </c>
      <c r="BK4" s="388">
        <f t="shared" si="9"/>
        <v>0</v>
      </c>
      <c r="BL4" s="388">
        <f t="shared" si="32"/>
        <v>16603.906904000003</v>
      </c>
      <c r="BM4" s="388">
        <f t="shared" si="33"/>
        <v>0</v>
      </c>
      <c r="BN4" s="388">
        <f t="shared" si="10"/>
        <v>13750</v>
      </c>
      <c r="BO4" s="388">
        <f t="shared" si="11"/>
        <v>0</v>
      </c>
      <c r="BP4" s="388">
        <f t="shared" si="12"/>
        <v>4796.0223999999998</v>
      </c>
      <c r="BQ4" s="388">
        <f t="shared" si="13"/>
        <v>1121.6504</v>
      </c>
      <c r="BR4" s="388">
        <f t="shared" si="14"/>
        <v>8648.3113599999997</v>
      </c>
      <c r="BS4" s="388">
        <f t="shared" si="15"/>
        <v>557.73099200000001</v>
      </c>
      <c r="BT4" s="388">
        <f t="shared" si="16"/>
        <v>0</v>
      </c>
      <c r="BU4" s="388">
        <f t="shared" si="17"/>
        <v>428.16103199999998</v>
      </c>
      <c r="BV4" s="388">
        <f t="shared" si="18"/>
        <v>471.86671999999999</v>
      </c>
      <c r="BW4" s="388">
        <f t="shared" si="19"/>
        <v>0</v>
      </c>
      <c r="BX4" s="388">
        <f t="shared" si="34"/>
        <v>16023.742904000001</v>
      </c>
      <c r="BY4" s="388">
        <f t="shared" si="35"/>
        <v>0</v>
      </c>
      <c r="BZ4" s="388">
        <f t="shared" si="36"/>
        <v>1250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-587.89952000000073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7.7355200000000197</v>
      </c>
      <c r="CI4" s="388">
        <f t="shared" si="26"/>
        <v>0</v>
      </c>
      <c r="CJ4" s="388">
        <f t="shared" si="39"/>
        <v>-580.16400000000067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0229-20</v>
      </c>
    </row>
    <row r="5" spans="1:92" ht="15.75" thickBot="1">
      <c r="A5" s="377" t="s">
        <v>162</v>
      </c>
      <c r="B5" s="377" t="s">
        <v>163</v>
      </c>
      <c r="C5" s="377" t="s">
        <v>198</v>
      </c>
      <c r="D5" s="377" t="s">
        <v>199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200</v>
      </c>
      <c r="L5" s="377" t="s">
        <v>179</v>
      </c>
      <c r="M5" s="377" t="s">
        <v>172</v>
      </c>
      <c r="N5" s="377" t="s">
        <v>173</v>
      </c>
      <c r="O5" s="380">
        <v>1</v>
      </c>
      <c r="P5" s="386">
        <v>1</v>
      </c>
      <c r="Q5" s="386">
        <v>1</v>
      </c>
      <c r="R5" s="381">
        <v>80</v>
      </c>
      <c r="S5" s="386">
        <v>1</v>
      </c>
      <c r="T5" s="381">
        <v>37494.5</v>
      </c>
      <c r="U5" s="381">
        <v>0</v>
      </c>
      <c r="V5" s="381">
        <v>19870.560000000001</v>
      </c>
      <c r="W5" s="381">
        <v>40580.800000000003</v>
      </c>
      <c r="X5" s="381">
        <v>21210.63</v>
      </c>
      <c r="Y5" s="381">
        <v>40580.800000000003</v>
      </c>
      <c r="Z5" s="381">
        <v>22156.28</v>
      </c>
      <c r="AA5" s="377" t="s">
        <v>201</v>
      </c>
      <c r="AB5" s="377" t="s">
        <v>202</v>
      </c>
      <c r="AC5" s="377" t="s">
        <v>203</v>
      </c>
      <c r="AD5" s="377" t="s">
        <v>182</v>
      </c>
      <c r="AE5" s="377" t="s">
        <v>200</v>
      </c>
      <c r="AF5" s="377" t="s">
        <v>204</v>
      </c>
      <c r="AG5" s="377" t="s">
        <v>179</v>
      </c>
      <c r="AH5" s="382">
        <v>19.510000000000002</v>
      </c>
      <c r="AI5" s="382">
        <v>29580.6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6">
        <v>1</v>
      </c>
      <c r="AQ5" s="386">
        <v>1</v>
      </c>
      <c r="AR5" s="384" t="s">
        <v>184</v>
      </c>
      <c r="AS5" s="388">
        <f t="shared" si="27"/>
        <v>1</v>
      </c>
      <c r="AT5">
        <f t="shared" si="28"/>
        <v>1</v>
      </c>
      <c r="AU5" s="388">
        <f>IF(AT5=0,"",IF(AND(AT5=1,M5="F",SUMIF(C2:C53,C5,AS2:AS53)&lt;=1),SUMIF(C2:C53,C5,AS2:AS53),IF(AND(AT5=1,M5="F",SUMIF(C2:C53,C5,AS2:AS53)&gt;1),1,"")))</f>
        <v>1</v>
      </c>
      <c r="AV5" s="388" t="str">
        <f>IF(AT5=0,"",IF(AND(AT5=3,M5="F",SUMIF(C2:C53,C5,AS2:AS53)&lt;=1),SUMIF(C2:C53,C5,AS2:AS53),IF(AND(AT5=3,M5="F",SUMIF(C2:C53,C5,AS2:AS53)&gt;1),1,"")))</f>
        <v/>
      </c>
      <c r="AW5" s="388">
        <f>SUMIF(C2:C53,C5,O2:O53)</f>
        <v>1</v>
      </c>
      <c r="AX5" s="388">
        <f>IF(AND(M5="F",AS5&lt;&gt;0),SUMIF(C2:C53,C5,W2:W53),0)</f>
        <v>40580.800000000003</v>
      </c>
      <c r="AY5" s="388">
        <f t="shared" si="29"/>
        <v>40580.800000000003</v>
      </c>
      <c r="AZ5" s="388" t="str">
        <f t="shared" si="30"/>
        <v/>
      </c>
      <c r="BA5" s="388">
        <f t="shared" si="31"/>
        <v>0</v>
      </c>
      <c r="BB5" s="388">
        <f t="shared" si="0"/>
        <v>12500</v>
      </c>
      <c r="BC5" s="388">
        <f t="shared" si="1"/>
        <v>0</v>
      </c>
      <c r="BD5" s="388">
        <f t="shared" si="2"/>
        <v>2516.0096000000003</v>
      </c>
      <c r="BE5" s="388">
        <f t="shared" si="3"/>
        <v>588.42160000000013</v>
      </c>
      <c r="BF5" s="388">
        <f t="shared" si="4"/>
        <v>4845.3475200000003</v>
      </c>
      <c r="BG5" s="388">
        <f t="shared" si="5"/>
        <v>292.58756800000003</v>
      </c>
      <c r="BH5" s="388">
        <f t="shared" si="6"/>
        <v>0</v>
      </c>
      <c r="BI5" s="388">
        <f t="shared" si="7"/>
        <v>224.61472800000001</v>
      </c>
      <c r="BJ5" s="388">
        <f t="shared" si="8"/>
        <v>243.48480000000004</v>
      </c>
      <c r="BK5" s="388">
        <f t="shared" si="9"/>
        <v>0</v>
      </c>
      <c r="BL5" s="388">
        <f t="shared" si="32"/>
        <v>8710.4658160000017</v>
      </c>
      <c r="BM5" s="388">
        <f t="shared" si="33"/>
        <v>0</v>
      </c>
      <c r="BN5" s="388">
        <f t="shared" si="10"/>
        <v>13750</v>
      </c>
      <c r="BO5" s="388">
        <f t="shared" si="11"/>
        <v>0</v>
      </c>
      <c r="BP5" s="388">
        <f t="shared" si="12"/>
        <v>2516.0096000000003</v>
      </c>
      <c r="BQ5" s="388">
        <f t="shared" si="13"/>
        <v>588.42160000000013</v>
      </c>
      <c r="BR5" s="388">
        <f t="shared" si="14"/>
        <v>4536.9334399999998</v>
      </c>
      <c r="BS5" s="388">
        <f t="shared" si="15"/>
        <v>292.58756800000003</v>
      </c>
      <c r="BT5" s="388">
        <f t="shared" si="16"/>
        <v>0</v>
      </c>
      <c r="BU5" s="388">
        <f t="shared" si="17"/>
        <v>224.61472800000001</v>
      </c>
      <c r="BV5" s="388">
        <f t="shared" si="18"/>
        <v>247.54288000000003</v>
      </c>
      <c r="BW5" s="388">
        <f t="shared" si="19"/>
        <v>0</v>
      </c>
      <c r="BX5" s="388">
        <f t="shared" si="34"/>
        <v>8406.1098160000001</v>
      </c>
      <c r="BY5" s="388">
        <f t="shared" si="35"/>
        <v>0</v>
      </c>
      <c r="BZ5" s="388">
        <f t="shared" si="36"/>
        <v>1250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-308.41408000000041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4.058080000000011</v>
      </c>
      <c r="CI5" s="388">
        <f t="shared" si="26"/>
        <v>0</v>
      </c>
      <c r="CJ5" s="388">
        <f t="shared" si="39"/>
        <v>-304.35600000000039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0229-20</v>
      </c>
    </row>
    <row r="6" spans="1:92" ht="15.75" thickBot="1">
      <c r="A6" s="377" t="s">
        <v>162</v>
      </c>
      <c r="B6" s="377" t="s">
        <v>163</v>
      </c>
      <c r="C6" s="377" t="s">
        <v>205</v>
      </c>
      <c r="D6" s="377" t="s">
        <v>199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200</v>
      </c>
      <c r="L6" s="377" t="s">
        <v>179</v>
      </c>
      <c r="M6" s="377" t="s">
        <v>172</v>
      </c>
      <c r="N6" s="377" t="s">
        <v>173</v>
      </c>
      <c r="O6" s="380">
        <v>1</v>
      </c>
      <c r="P6" s="386">
        <v>1</v>
      </c>
      <c r="Q6" s="386">
        <v>1</v>
      </c>
      <c r="R6" s="381">
        <v>80</v>
      </c>
      <c r="S6" s="386">
        <v>1</v>
      </c>
      <c r="T6" s="381">
        <v>47196</v>
      </c>
      <c r="U6" s="381">
        <v>0</v>
      </c>
      <c r="V6" s="381">
        <v>21702.55</v>
      </c>
      <c r="W6" s="381">
        <v>50232</v>
      </c>
      <c r="X6" s="381">
        <v>23282.28</v>
      </c>
      <c r="Y6" s="381">
        <v>50232</v>
      </c>
      <c r="Z6" s="381">
        <v>24155.53</v>
      </c>
      <c r="AA6" s="377" t="s">
        <v>206</v>
      </c>
      <c r="AB6" s="377" t="s">
        <v>207</v>
      </c>
      <c r="AC6" s="377" t="s">
        <v>208</v>
      </c>
      <c r="AD6" s="377" t="s">
        <v>188</v>
      </c>
      <c r="AE6" s="377" t="s">
        <v>200</v>
      </c>
      <c r="AF6" s="377" t="s">
        <v>204</v>
      </c>
      <c r="AG6" s="377" t="s">
        <v>179</v>
      </c>
      <c r="AH6" s="382">
        <v>24.15</v>
      </c>
      <c r="AI6" s="380">
        <v>84876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6">
        <v>1</v>
      </c>
      <c r="AQ6" s="386">
        <v>1</v>
      </c>
      <c r="AR6" s="384" t="s">
        <v>184</v>
      </c>
      <c r="AS6" s="388">
        <f t="shared" si="27"/>
        <v>1</v>
      </c>
      <c r="AT6">
        <f t="shared" si="28"/>
        <v>1</v>
      </c>
      <c r="AU6" s="388">
        <f>IF(AT6=0,"",IF(AND(AT6=1,M6="F",SUMIF(C2:C53,C6,AS2:AS53)&lt;=1),SUMIF(C2:C53,C6,AS2:AS53),IF(AND(AT6=1,M6="F",SUMIF(C2:C53,C6,AS2:AS53)&gt;1),1,"")))</f>
        <v>1</v>
      </c>
      <c r="AV6" s="388" t="str">
        <f>IF(AT6=0,"",IF(AND(AT6=3,M6="F",SUMIF(C2:C53,C6,AS2:AS53)&lt;=1),SUMIF(C2:C53,C6,AS2:AS53),IF(AND(AT6=3,M6="F",SUMIF(C2:C53,C6,AS2:AS53)&gt;1),1,"")))</f>
        <v/>
      </c>
      <c r="AW6" s="388">
        <f>SUMIF(C2:C53,C6,O2:O53)</f>
        <v>1</v>
      </c>
      <c r="AX6" s="388">
        <f>IF(AND(M6="F",AS6&lt;&gt;0),SUMIF(C2:C53,C6,W2:W53),0)</f>
        <v>50232</v>
      </c>
      <c r="AY6" s="388">
        <f t="shared" si="29"/>
        <v>50232</v>
      </c>
      <c r="AZ6" s="388" t="str">
        <f t="shared" si="30"/>
        <v/>
      </c>
      <c r="BA6" s="388">
        <f t="shared" si="31"/>
        <v>0</v>
      </c>
      <c r="BB6" s="388">
        <f t="shared" si="0"/>
        <v>12500</v>
      </c>
      <c r="BC6" s="388">
        <f t="shared" si="1"/>
        <v>0</v>
      </c>
      <c r="BD6" s="388">
        <f t="shared" si="2"/>
        <v>3114.384</v>
      </c>
      <c r="BE6" s="388">
        <f t="shared" si="3"/>
        <v>728.36400000000003</v>
      </c>
      <c r="BF6" s="388">
        <f t="shared" si="4"/>
        <v>5997.7008000000005</v>
      </c>
      <c r="BG6" s="388">
        <f t="shared" si="5"/>
        <v>362.17272000000003</v>
      </c>
      <c r="BH6" s="388">
        <f t="shared" si="6"/>
        <v>0</v>
      </c>
      <c r="BI6" s="388">
        <f t="shared" si="7"/>
        <v>278.03411999999997</v>
      </c>
      <c r="BJ6" s="388">
        <f t="shared" si="8"/>
        <v>301.392</v>
      </c>
      <c r="BK6" s="388">
        <f t="shared" si="9"/>
        <v>0</v>
      </c>
      <c r="BL6" s="388">
        <f t="shared" si="32"/>
        <v>10782.047640000001</v>
      </c>
      <c r="BM6" s="388">
        <f t="shared" si="33"/>
        <v>0</v>
      </c>
      <c r="BN6" s="388">
        <f t="shared" si="10"/>
        <v>13750</v>
      </c>
      <c r="BO6" s="388">
        <f t="shared" si="11"/>
        <v>0</v>
      </c>
      <c r="BP6" s="388">
        <f t="shared" si="12"/>
        <v>3114.384</v>
      </c>
      <c r="BQ6" s="388">
        <f t="shared" si="13"/>
        <v>728.36400000000003</v>
      </c>
      <c r="BR6" s="388">
        <f t="shared" si="14"/>
        <v>5615.9376000000002</v>
      </c>
      <c r="BS6" s="388">
        <f t="shared" si="15"/>
        <v>362.17272000000003</v>
      </c>
      <c r="BT6" s="388">
        <f t="shared" si="16"/>
        <v>0</v>
      </c>
      <c r="BU6" s="388">
        <f t="shared" si="17"/>
        <v>278.03411999999997</v>
      </c>
      <c r="BV6" s="388">
        <f t="shared" si="18"/>
        <v>306.41520000000003</v>
      </c>
      <c r="BW6" s="388">
        <f t="shared" si="19"/>
        <v>0</v>
      </c>
      <c r="BX6" s="388">
        <f t="shared" si="34"/>
        <v>10405.307640000001</v>
      </c>
      <c r="BY6" s="388">
        <f t="shared" si="35"/>
        <v>0</v>
      </c>
      <c r="BZ6" s="388">
        <f t="shared" si="36"/>
        <v>1250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-381.7632000000005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5.0232000000000134</v>
      </c>
      <c r="CI6" s="388">
        <f t="shared" si="26"/>
        <v>0</v>
      </c>
      <c r="CJ6" s="388">
        <f t="shared" si="39"/>
        <v>-376.74000000000046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0229-20</v>
      </c>
    </row>
    <row r="7" spans="1:92" ht="15.75" thickBot="1">
      <c r="A7" s="377" t="s">
        <v>162</v>
      </c>
      <c r="B7" s="377" t="s">
        <v>163</v>
      </c>
      <c r="C7" s="377" t="s">
        <v>209</v>
      </c>
      <c r="D7" s="377" t="s">
        <v>210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211</v>
      </c>
      <c r="L7" s="377" t="s">
        <v>212</v>
      </c>
      <c r="M7" s="377" t="s">
        <v>172</v>
      </c>
      <c r="N7" s="377" t="s">
        <v>173</v>
      </c>
      <c r="O7" s="380">
        <v>1</v>
      </c>
      <c r="P7" s="386">
        <v>1</v>
      </c>
      <c r="Q7" s="386">
        <v>1</v>
      </c>
      <c r="R7" s="381">
        <v>80</v>
      </c>
      <c r="S7" s="386">
        <v>1</v>
      </c>
      <c r="T7" s="381">
        <v>79813.47</v>
      </c>
      <c r="U7" s="381">
        <v>0</v>
      </c>
      <c r="V7" s="381">
        <v>28625.86</v>
      </c>
      <c r="W7" s="381">
        <v>74776</v>
      </c>
      <c r="X7" s="381">
        <v>28550.639999999999</v>
      </c>
      <c r="Y7" s="381">
        <v>74776</v>
      </c>
      <c r="Z7" s="381">
        <v>29239.82</v>
      </c>
      <c r="AA7" s="377" t="s">
        <v>213</v>
      </c>
      <c r="AB7" s="377" t="s">
        <v>214</v>
      </c>
      <c r="AC7" s="377" t="s">
        <v>215</v>
      </c>
      <c r="AD7" s="377" t="s">
        <v>216</v>
      </c>
      <c r="AE7" s="377" t="s">
        <v>211</v>
      </c>
      <c r="AF7" s="377" t="s">
        <v>217</v>
      </c>
      <c r="AG7" s="377" t="s">
        <v>179</v>
      </c>
      <c r="AH7" s="382">
        <v>35.950000000000003</v>
      </c>
      <c r="AI7" s="382">
        <v>38493.800000000003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6">
        <v>1</v>
      </c>
      <c r="AQ7" s="386">
        <v>1</v>
      </c>
      <c r="AR7" s="384" t="s">
        <v>184</v>
      </c>
      <c r="AS7" s="388">
        <f t="shared" si="27"/>
        <v>1</v>
      </c>
      <c r="AT7">
        <f t="shared" si="28"/>
        <v>1</v>
      </c>
      <c r="AU7" s="388">
        <f>IF(AT7=0,"",IF(AND(AT7=1,M7="F",SUMIF(C2:C53,C7,AS2:AS53)&lt;=1),SUMIF(C2:C53,C7,AS2:AS53),IF(AND(AT7=1,M7="F",SUMIF(C2:C53,C7,AS2:AS53)&gt;1),1,"")))</f>
        <v>1</v>
      </c>
      <c r="AV7" s="388" t="str">
        <f>IF(AT7=0,"",IF(AND(AT7=3,M7="F",SUMIF(C2:C53,C7,AS2:AS53)&lt;=1),SUMIF(C2:C53,C7,AS2:AS53),IF(AND(AT7=3,M7="F",SUMIF(C2:C53,C7,AS2:AS53)&gt;1),1,"")))</f>
        <v/>
      </c>
      <c r="AW7" s="388">
        <f>SUMIF(C2:C53,C7,O2:O53)</f>
        <v>1</v>
      </c>
      <c r="AX7" s="388">
        <f>IF(AND(M7="F",AS7&lt;&gt;0),SUMIF(C2:C53,C7,W2:W53),0)</f>
        <v>74776</v>
      </c>
      <c r="AY7" s="388">
        <f t="shared" si="29"/>
        <v>74776</v>
      </c>
      <c r="AZ7" s="388" t="str">
        <f t="shared" si="30"/>
        <v/>
      </c>
      <c r="BA7" s="388">
        <f t="shared" si="31"/>
        <v>0</v>
      </c>
      <c r="BB7" s="388">
        <f t="shared" si="0"/>
        <v>12500</v>
      </c>
      <c r="BC7" s="388">
        <f t="shared" si="1"/>
        <v>0</v>
      </c>
      <c r="BD7" s="388">
        <f t="shared" si="2"/>
        <v>4636.1120000000001</v>
      </c>
      <c r="BE7" s="388">
        <f t="shared" si="3"/>
        <v>1084.252</v>
      </c>
      <c r="BF7" s="388">
        <f t="shared" si="4"/>
        <v>8928.2543999999998</v>
      </c>
      <c r="BG7" s="388">
        <f t="shared" si="5"/>
        <v>539.13495999999998</v>
      </c>
      <c r="BH7" s="388">
        <f t="shared" si="6"/>
        <v>0</v>
      </c>
      <c r="BI7" s="388">
        <f t="shared" si="7"/>
        <v>413.88515999999998</v>
      </c>
      <c r="BJ7" s="388">
        <f t="shared" si="8"/>
        <v>448.65600000000001</v>
      </c>
      <c r="BK7" s="388">
        <f t="shared" si="9"/>
        <v>0</v>
      </c>
      <c r="BL7" s="388">
        <f t="shared" si="32"/>
        <v>16050.294519999999</v>
      </c>
      <c r="BM7" s="388">
        <f t="shared" si="33"/>
        <v>0</v>
      </c>
      <c r="BN7" s="388">
        <f t="shared" si="10"/>
        <v>13750</v>
      </c>
      <c r="BO7" s="388">
        <f t="shared" si="11"/>
        <v>0</v>
      </c>
      <c r="BP7" s="388">
        <f t="shared" si="12"/>
        <v>4636.1120000000001</v>
      </c>
      <c r="BQ7" s="388">
        <f t="shared" si="13"/>
        <v>1084.252</v>
      </c>
      <c r="BR7" s="388">
        <f t="shared" si="14"/>
        <v>8359.9567999999999</v>
      </c>
      <c r="BS7" s="388">
        <f t="shared" si="15"/>
        <v>539.13495999999998</v>
      </c>
      <c r="BT7" s="388">
        <f t="shared" si="16"/>
        <v>0</v>
      </c>
      <c r="BU7" s="388">
        <f t="shared" si="17"/>
        <v>413.88515999999998</v>
      </c>
      <c r="BV7" s="388">
        <f t="shared" si="18"/>
        <v>456.1336</v>
      </c>
      <c r="BW7" s="388">
        <f t="shared" si="19"/>
        <v>0</v>
      </c>
      <c r="BX7" s="388">
        <f t="shared" si="34"/>
        <v>15489.474519999998</v>
      </c>
      <c r="BY7" s="388">
        <f t="shared" si="35"/>
        <v>0</v>
      </c>
      <c r="BZ7" s="388">
        <f t="shared" si="36"/>
        <v>1250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-568.29760000000067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7.4776000000000193</v>
      </c>
      <c r="CI7" s="388">
        <f t="shared" si="26"/>
        <v>0</v>
      </c>
      <c r="CJ7" s="388">
        <f t="shared" si="39"/>
        <v>-560.82000000000062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0229-20</v>
      </c>
    </row>
    <row r="8" spans="1:92" ht="15.75" thickBot="1">
      <c r="A8" s="377" t="s">
        <v>162</v>
      </c>
      <c r="B8" s="377" t="s">
        <v>163</v>
      </c>
      <c r="C8" s="377" t="s">
        <v>218</v>
      </c>
      <c r="D8" s="377" t="s">
        <v>219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220</v>
      </c>
      <c r="L8" s="377" t="s">
        <v>171</v>
      </c>
      <c r="M8" s="377" t="s">
        <v>172</v>
      </c>
      <c r="N8" s="377" t="s">
        <v>173</v>
      </c>
      <c r="O8" s="380">
        <v>1</v>
      </c>
      <c r="P8" s="386">
        <v>1</v>
      </c>
      <c r="Q8" s="386">
        <v>1</v>
      </c>
      <c r="R8" s="381">
        <v>80</v>
      </c>
      <c r="S8" s="386">
        <v>1</v>
      </c>
      <c r="T8" s="381">
        <v>73998.7</v>
      </c>
      <c r="U8" s="381">
        <v>0</v>
      </c>
      <c r="V8" s="381">
        <v>27395.41</v>
      </c>
      <c r="W8" s="381">
        <v>71926.399999999994</v>
      </c>
      <c r="X8" s="381">
        <v>27938.97</v>
      </c>
      <c r="Y8" s="381">
        <v>71926.399999999994</v>
      </c>
      <c r="Z8" s="381">
        <v>28649.53</v>
      </c>
      <c r="AA8" s="377" t="s">
        <v>221</v>
      </c>
      <c r="AB8" s="377" t="s">
        <v>222</v>
      </c>
      <c r="AC8" s="377" t="s">
        <v>223</v>
      </c>
      <c r="AD8" s="377" t="s">
        <v>192</v>
      </c>
      <c r="AE8" s="377" t="s">
        <v>220</v>
      </c>
      <c r="AF8" s="377" t="s">
        <v>178</v>
      </c>
      <c r="AG8" s="377" t="s">
        <v>179</v>
      </c>
      <c r="AH8" s="382">
        <v>34.58</v>
      </c>
      <c r="AI8" s="382">
        <v>16020.1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1</v>
      </c>
      <c r="AR8" s="384" t="s">
        <v>184</v>
      </c>
      <c r="AS8" s="388">
        <f t="shared" si="27"/>
        <v>1</v>
      </c>
      <c r="AT8">
        <f t="shared" si="28"/>
        <v>1</v>
      </c>
      <c r="AU8" s="388">
        <f>IF(AT8=0,"",IF(AND(AT8=1,M8="F",SUMIF(C2:C53,C8,AS2:AS53)&lt;=1),SUMIF(C2:C53,C8,AS2:AS53),IF(AND(AT8=1,M8="F",SUMIF(C2:C53,C8,AS2:AS53)&gt;1),1,"")))</f>
        <v>1</v>
      </c>
      <c r="AV8" s="388" t="str">
        <f>IF(AT8=0,"",IF(AND(AT8=3,M8="F",SUMIF(C2:C53,C8,AS2:AS53)&lt;=1),SUMIF(C2:C53,C8,AS2:AS53),IF(AND(AT8=3,M8="F",SUMIF(C2:C53,C8,AS2:AS53)&gt;1),1,"")))</f>
        <v/>
      </c>
      <c r="AW8" s="388">
        <f>SUMIF(C2:C53,C8,O2:O53)</f>
        <v>1</v>
      </c>
      <c r="AX8" s="388">
        <f>IF(AND(M8="F",AS8&lt;&gt;0),SUMIF(C2:C53,C8,W2:W53),0)</f>
        <v>71926.399999999994</v>
      </c>
      <c r="AY8" s="388">
        <f t="shared" si="29"/>
        <v>71926.399999999994</v>
      </c>
      <c r="AZ8" s="388" t="str">
        <f t="shared" si="30"/>
        <v/>
      </c>
      <c r="BA8" s="388">
        <f t="shared" si="31"/>
        <v>0</v>
      </c>
      <c r="BB8" s="388">
        <f t="shared" si="0"/>
        <v>12500</v>
      </c>
      <c r="BC8" s="388">
        <f t="shared" si="1"/>
        <v>0</v>
      </c>
      <c r="BD8" s="388">
        <f t="shared" si="2"/>
        <v>4459.4367999999995</v>
      </c>
      <c r="BE8" s="388">
        <f t="shared" si="3"/>
        <v>1042.9328</v>
      </c>
      <c r="BF8" s="388">
        <f t="shared" si="4"/>
        <v>8588.0121600000002</v>
      </c>
      <c r="BG8" s="388">
        <f t="shared" si="5"/>
        <v>518.58934399999998</v>
      </c>
      <c r="BH8" s="388">
        <f t="shared" si="6"/>
        <v>0</v>
      </c>
      <c r="BI8" s="388">
        <f t="shared" si="7"/>
        <v>398.11262399999998</v>
      </c>
      <c r="BJ8" s="388">
        <f t="shared" si="8"/>
        <v>431.55839999999995</v>
      </c>
      <c r="BK8" s="388">
        <f t="shared" si="9"/>
        <v>0</v>
      </c>
      <c r="BL8" s="388">
        <f t="shared" si="32"/>
        <v>15438.642128</v>
      </c>
      <c r="BM8" s="388">
        <f t="shared" si="33"/>
        <v>0</v>
      </c>
      <c r="BN8" s="388">
        <f t="shared" si="10"/>
        <v>13750</v>
      </c>
      <c r="BO8" s="388">
        <f t="shared" si="11"/>
        <v>0</v>
      </c>
      <c r="BP8" s="388">
        <f t="shared" si="12"/>
        <v>4459.4367999999995</v>
      </c>
      <c r="BQ8" s="388">
        <f t="shared" si="13"/>
        <v>1042.9328</v>
      </c>
      <c r="BR8" s="388">
        <f t="shared" si="14"/>
        <v>8041.3715199999988</v>
      </c>
      <c r="BS8" s="388">
        <f t="shared" si="15"/>
        <v>518.58934399999998</v>
      </c>
      <c r="BT8" s="388">
        <f t="shared" si="16"/>
        <v>0</v>
      </c>
      <c r="BU8" s="388">
        <f t="shared" si="17"/>
        <v>398.11262399999998</v>
      </c>
      <c r="BV8" s="388">
        <f t="shared" si="18"/>
        <v>438.75103999999999</v>
      </c>
      <c r="BW8" s="388">
        <f t="shared" si="19"/>
        <v>0</v>
      </c>
      <c r="BX8" s="388">
        <f t="shared" si="34"/>
        <v>14899.194127999997</v>
      </c>
      <c r="BY8" s="388">
        <f t="shared" si="35"/>
        <v>0</v>
      </c>
      <c r="BZ8" s="388">
        <f t="shared" si="36"/>
        <v>1250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-546.64064000000064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7.1926400000000186</v>
      </c>
      <c r="CI8" s="388">
        <f t="shared" si="26"/>
        <v>0</v>
      </c>
      <c r="CJ8" s="388">
        <f t="shared" si="39"/>
        <v>-539.44800000000066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0229-20</v>
      </c>
    </row>
    <row r="9" spans="1:92" ht="15.75" thickBot="1">
      <c r="A9" s="377" t="s">
        <v>162</v>
      </c>
      <c r="B9" s="377" t="s">
        <v>163</v>
      </c>
      <c r="C9" s="377" t="s">
        <v>224</v>
      </c>
      <c r="D9" s="377" t="s">
        <v>225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226</v>
      </c>
      <c r="L9" s="377" t="s">
        <v>179</v>
      </c>
      <c r="M9" s="377" t="s">
        <v>172</v>
      </c>
      <c r="N9" s="377" t="s">
        <v>173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48823.24</v>
      </c>
      <c r="U9" s="381">
        <v>0</v>
      </c>
      <c r="V9" s="381">
        <v>22178.52</v>
      </c>
      <c r="W9" s="381">
        <v>51542.400000000001</v>
      </c>
      <c r="X9" s="381">
        <v>23563.55</v>
      </c>
      <c r="Y9" s="381">
        <v>51542.400000000001</v>
      </c>
      <c r="Z9" s="381">
        <v>24426.98</v>
      </c>
      <c r="AA9" s="377" t="s">
        <v>227</v>
      </c>
      <c r="AB9" s="377" t="s">
        <v>228</v>
      </c>
      <c r="AC9" s="377" t="s">
        <v>229</v>
      </c>
      <c r="AD9" s="377" t="s">
        <v>230</v>
      </c>
      <c r="AE9" s="377" t="s">
        <v>226</v>
      </c>
      <c r="AF9" s="377" t="s">
        <v>204</v>
      </c>
      <c r="AG9" s="377" t="s">
        <v>179</v>
      </c>
      <c r="AH9" s="382">
        <v>24.78</v>
      </c>
      <c r="AI9" s="382">
        <v>92586.6</v>
      </c>
      <c r="AJ9" s="377" t="s">
        <v>180</v>
      </c>
      <c r="AK9" s="377" t="s">
        <v>181</v>
      </c>
      <c r="AL9" s="377" t="s">
        <v>182</v>
      </c>
      <c r="AM9" s="377" t="s">
        <v>183</v>
      </c>
      <c r="AN9" s="377" t="s">
        <v>66</v>
      </c>
      <c r="AO9" s="380">
        <v>80</v>
      </c>
      <c r="AP9" s="386">
        <v>1</v>
      </c>
      <c r="AQ9" s="386">
        <v>1</v>
      </c>
      <c r="AR9" s="384" t="s">
        <v>184</v>
      </c>
      <c r="AS9" s="388">
        <f t="shared" si="27"/>
        <v>1</v>
      </c>
      <c r="AT9">
        <f t="shared" si="28"/>
        <v>1</v>
      </c>
      <c r="AU9" s="388">
        <f>IF(AT9=0,"",IF(AND(AT9=1,M9="F",SUMIF(C2:C53,C9,AS2:AS53)&lt;=1),SUMIF(C2:C53,C9,AS2:AS53),IF(AND(AT9=1,M9="F",SUMIF(C2:C53,C9,AS2:AS53)&gt;1),1,"")))</f>
        <v>1</v>
      </c>
      <c r="AV9" s="388" t="str">
        <f>IF(AT9=0,"",IF(AND(AT9=3,M9="F",SUMIF(C2:C53,C9,AS2:AS53)&lt;=1),SUMIF(C2:C53,C9,AS2:AS53),IF(AND(AT9=3,M9="F",SUMIF(C2:C53,C9,AS2:AS53)&gt;1),1,"")))</f>
        <v/>
      </c>
      <c r="AW9" s="388">
        <f>SUMIF(C2:C53,C9,O2:O53)</f>
        <v>1</v>
      </c>
      <c r="AX9" s="388">
        <f>IF(AND(M9="F",AS9&lt;&gt;0),SUMIF(C2:C53,C9,W2:W53),0)</f>
        <v>51542.400000000001</v>
      </c>
      <c r="AY9" s="388">
        <f t="shared" si="29"/>
        <v>51542.400000000001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3195.6288</v>
      </c>
      <c r="BE9" s="388">
        <f t="shared" si="3"/>
        <v>747.36480000000006</v>
      </c>
      <c r="BF9" s="388">
        <f t="shared" si="4"/>
        <v>6154.1625600000007</v>
      </c>
      <c r="BG9" s="388">
        <f t="shared" si="5"/>
        <v>371.62070400000005</v>
      </c>
      <c r="BH9" s="388">
        <f t="shared" si="6"/>
        <v>0</v>
      </c>
      <c r="BI9" s="388">
        <f t="shared" si="7"/>
        <v>285.28718400000002</v>
      </c>
      <c r="BJ9" s="388">
        <f t="shared" si="8"/>
        <v>309.25440000000003</v>
      </c>
      <c r="BK9" s="388">
        <f t="shared" si="9"/>
        <v>0</v>
      </c>
      <c r="BL9" s="388">
        <f t="shared" si="32"/>
        <v>11063.318448000002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3195.6288</v>
      </c>
      <c r="BQ9" s="388">
        <f t="shared" si="13"/>
        <v>747.36480000000006</v>
      </c>
      <c r="BR9" s="388">
        <f t="shared" si="14"/>
        <v>5762.4403199999997</v>
      </c>
      <c r="BS9" s="388">
        <f t="shared" si="15"/>
        <v>371.62070400000005</v>
      </c>
      <c r="BT9" s="388">
        <f t="shared" si="16"/>
        <v>0</v>
      </c>
      <c r="BU9" s="388">
        <f t="shared" si="17"/>
        <v>285.28718400000002</v>
      </c>
      <c r="BV9" s="388">
        <f t="shared" si="18"/>
        <v>314.40864000000005</v>
      </c>
      <c r="BW9" s="388">
        <f t="shared" si="19"/>
        <v>0</v>
      </c>
      <c r="BX9" s="388">
        <f t="shared" si="34"/>
        <v>10676.750448000001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-391.72224000000051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5.1542400000000139</v>
      </c>
      <c r="CI9" s="388">
        <f t="shared" si="26"/>
        <v>0</v>
      </c>
      <c r="CJ9" s="388">
        <f t="shared" si="39"/>
        <v>-386.5680000000005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0229-20</v>
      </c>
    </row>
    <row r="10" spans="1:92" ht="15.75" thickBot="1">
      <c r="A10" s="377" t="s">
        <v>162</v>
      </c>
      <c r="B10" s="377" t="s">
        <v>163</v>
      </c>
      <c r="C10" s="377" t="s">
        <v>231</v>
      </c>
      <c r="D10" s="377" t="s">
        <v>232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233</v>
      </c>
      <c r="L10" s="377" t="s">
        <v>234</v>
      </c>
      <c r="M10" s="377" t="s">
        <v>172</v>
      </c>
      <c r="N10" s="377" t="s">
        <v>173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37925.94</v>
      </c>
      <c r="U10" s="381">
        <v>0</v>
      </c>
      <c r="V10" s="381">
        <v>19001</v>
      </c>
      <c r="W10" s="381">
        <v>45385.599999999999</v>
      </c>
      <c r="X10" s="381">
        <v>22242</v>
      </c>
      <c r="Y10" s="381">
        <v>45385.599999999999</v>
      </c>
      <c r="Z10" s="381">
        <v>23151.61</v>
      </c>
      <c r="AA10" s="377" t="s">
        <v>235</v>
      </c>
      <c r="AB10" s="377" t="s">
        <v>236</v>
      </c>
      <c r="AC10" s="377" t="s">
        <v>237</v>
      </c>
      <c r="AD10" s="377" t="s">
        <v>238</v>
      </c>
      <c r="AE10" s="377" t="s">
        <v>233</v>
      </c>
      <c r="AF10" s="377" t="s">
        <v>239</v>
      </c>
      <c r="AG10" s="377" t="s">
        <v>179</v>
      </c>
      <c r="AH10" s="382">
        <v>21.82</v>
      </c>
      <c r="AI10" s="382">
        <v>34834.800000000003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184</v>
      </c>
      <c r="AS10" s="388">
        <f t="shared" si="27"/>
        <v>1</v>
      </c>
      <c r="AT10">
        <f t="shared" si="28"/>
        <v>1</v>
      </c>
      <c r="AU10" s="388">
        <f>IF(AT10=0,"",IF(AND(AT10=1,M10="F",SUMIF(C2:C53,C10,AS2:AS53)&lt;=1),SUMIF(C2:C53,C10,AS2:AS53),IF(AND(AT10=1,M10="F",SUMIF(C2:C53,C10,AS2:AS53)&gt;1),1,"")))</f>
        <v>1</v>
      </c>
      <c r="AV10" s="388" t="str">
        <f>IF(AT10=0,"",IF(AND(AT10=3,M10="F",SUMIF(C2:C53,C10,AS2:AS53)&lt;=1),SUMIF(C2:C53,C10,AS2:AS53),IF(AND(AT10=3,M10="F",SUMIF(C2:C53,C10,AS2:AS53)&gt;1),1,"")))</f>
        <v/>
      </c>
      <c r="AW10" s="388">
        <f>SUMIF(C2:C53,C10,O2:O53)</f>
        <v>1</v>
      </c>
      <c r="AX10" s="388">
        <f>IF(AND(M10="F",AS10&lt;&gt;0),SUMIF(C2:C53,C10,W2:W53),0)</f>
        <v>45385.599999999999</v>
      </c>
      <c r="AY10" s="388">
        <f t="shared" si="29"/>
        <v>45385.599999999999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2813.9072000000001</v>
      </c>
      <c r="BE10" s="388">
        <f t="shared" si="3"/>
        <v>658.09119999999996</v>
      </c>
      <c r="BF10" s="388">
        <f t="shared" si="4"/>
        <v>5419.0406400000002</v>
      </c>
      <c r="BG10" s="388">
        <f t="shared" si="5"/>
        <v>327.23017600000003</v>
      </c>
      <c r="BH10" s="388">
        <f t="shared" si="6"/>
        <v>0</v>
      </c>
      <c r="BI10" s="388">
        <f t="shared" si="7"/>
        <v>251.20929599999999</v>
      </c>
      <c r="BJ10" s="388">
        <f t="shared" si="8"/>
        <v>272.31360000000001</v>
      </c>
      <c r="BK10" s="388">
        <f t="shared" si="9"/>
        <v>0</v>
      </c>
      <c r="BL10" s="388">
        <f t="shared" si="32"/>
        <v>9741.792112000001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2813.9072000000001</v>
      </c>
      <c r="BQ10" s="388">
        <f t="shared" si="13"/>
        <v>658.09119999999996</v>
      </c>
      <c r="BR10" s="388">
        <f t="shared" si="14"/>
        <v>5074.1100799999995</v>
      </c>
      <c r="BS10" s="388">
        <f t="shared" si="15"/>
        <v>327.23017600000003</v>
      </c>
      <c r="BT10" s="388">
        <f t="shared" si="16"/>
        <v>0</v>
      </c>
      <c r="BU10" s="388">
        <f t="shared" si="17"/>
        <v>251.20929599999999</v>
      </c>
      <c r="BV10" s="388">
        <f t="shared" si="18"/>
        <v>276.85216000000003</v>
      </c>
      <c r="BW10" s="388">
        <f t="shared" si="19"/>
        <v>0</v>
      </c>
      <c r="BX10" s="388">
        <f t="shared" si="34"/>
        <v>9401.4001120000012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-344.93056000000041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4.5385600000000119</v>
      </c>
      <c r="CI10" s="388">
        <f t="shared" si="26"/>
        <v>0</v>
      </c>
      <c r="CJ10" s="388">
        <f t="shared" si="39"/>
        <v>-340.39200000000039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0229-20</v>
      </c>
    </row>
    <row r="11" spans="1:92" ht="15.75" thickBot="1">
      <c r="A11" s="377" t="s">
        <v>162</v>
      </c>
      <c r="B11" s="377" t="s">
        <v>163</v>
      </c>
      <c r="C11" s="377" t="s">
        <v>240</v>
      </c>
      <c r="D11" s="377" t="s">
        <v>241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242</v>
      </c>
      <c r="L11" s="377" t="s">
        <v>212</v>
      </c>
      <c r="M11" s="377" t="s">
        <v>172</v>
      </c>
      <c r="N11" s="377" t="s">
        <v>173</v>
      </c>
      <c r="O11" s="380">
        <v>1</v>
      </c>
      <c r="P11" s="386">
        <v>1</v>
      </c>
      <c r="Q11" s="386">
        <v>1</v>
      </c>
      <c r="R11" s="381">
        <v>80</v>
      </c>
      <c r="S11" s="386">
        <v>1</v>
      </c>
      <c r="T11" s="381">
        <v>65291.22</v>
      </c>
      <c r="U11" s="381">
        <v>0</v>
      </c>
      <c r="V11" s="381">
        <v>27351.67</v>
      </c>
      <c r="W11" s="381">
        <v>70532.800000000003</v>
      </c>
      <c r="X11" s="381">
        <v>27639.84</v>
      </c>
      <c r="Y11" s="381">
        <v>70532.800000000003</v>
      </c>
      <c r="Z11" s="381">
        <v>28360.85</v>
      </c>
      <c r="AA11" s="377" t="s">
        <v>243</v>
      </c>
      <c r="AB11" s="377" t="s">
        <v>244</v>
      </c>
      <c r="AC11" s="377" t="s">
        <v>245</v>
      </c>
      <c r="AD11" s="377" t="s">
        <v>188</v>
      </c>
      <c r="AE11" s="377" t="s">
        <v>242</v>
      </c>
      <c r="AF11" s="377" t="s">
        <v>217</v>
      </c>
      <c r="AG11" s="377" t="s">
        <v>179</v>
      </c>
      <c r="AH11" s="382">
        <v>33.909999999999997</v>
      </c>
      <c r="AI11" s="382">
        <v>11426.8</v>
      </c>
      <c r="AJ11" s="377" t="s">
        <v>180</v>
      </c>
      <c r="AK11" s="377" t="s">
        <v>181</v>
      </c>
      <c r="AL11" s="377" t="s">
        <v>182</v>
      </c>
      <c r="AM11" s="377" t="s">
        <v>183</v>
      </c>
      <c r="AN11" s="377" t="s">
        <v>66</v>
      </c>
      <c r="AO11" s="380">
        <v>80</v>
      </c>
      <c r="AP11" s="386">
        <v>1</v>
      </c>
      <c r="AQ11" s="386">
        <v>1</v>
      </c>
      <c r="AR11" s="384" t="s">
        <v>184</v>
      </c>
      <c r="AS11" s="388">
        <f t="shared" si="27"/>
        <v>1</v>
      </c>
      <c r="AT11">
        <f t="shared" si="28"/>
        <v>1</v>
      </c>
      <c r="AU11" s="388">
        <f>IF(AT11=0,"",IF(AND(AT11=1,M11="F",SUMIF(C2:C53,C11,AS2:AS53)&lt;=1),SUMIF(C2:C53,C11,AS2:AS53),IF(AND(AT11=1,M11="F",SUMIF(C2:C53,C11,AS2:AS53)&gt;1),1,"")))</f>
        <v>1</v>
      </c>
      <c r="AV11" s="388" t="str">
        <f>IF(AT11=0,"",IF(AND(AT11=3,M11="F",SUMIF(C2:C53,C11,AS2:AS53)&lt;=1),SUMIF(C2:C53,C11,AS2:AS53),IF(AND(AT11=3,M11="F",SUMIF(C2:C53,C11,AS2:AS53)&gt;1),1,"")))</f>
        <v/>
      </c>
      <c r="AW11" s="388">
        <f>SUMIF(C2:C53,C11,O2:O53)</f>
        <v>1</v>
      </c>
      <c r="AX11" s="388">
        <f>IF(AND(M11="F",AS11&lt;&gt;0),SUMIF(C2:C53,C11,W2:W53),0)</f>
        <v>70532.800000000003</v>
      </c>
      <c r="AY11" s="388">
        <f t="shared" si="29"/>
        <v>70532.800000000003</v>
      </c>
      <c r="AZ11" s="388" t="str">
        <f t="shared" si="30"/>
        <v/>
      </c>
      <c r="BA11" s="388">
        <f t="shared" si="31"/>
        <v>0</v>
      </c>
      <c r="BB11" s="388">
        <f t="shared" si="0"/>
        <v>12500</v>
      </c>
      <c r="BC11" s="388">
        <f t="shared" si="1"/>
        <v>0</v>
      </c>
      <c r="BD11" s="388">
        <f t="shared" si="2"/>
        <v>4373.0335999999998</v>
      </c>
      <c r="BE11" s="388">
        <f t="shared" si="3"/>
        <v>1022.7256000000001</v>
      </c>
      <c r="BF11" s="388">
        <f t="shared" si="4"/>
        <v>8421.616320000001</v>
      </c>
      <c r="BG11" s="388">
        <f t="shared" si="5"/>
        <v>508.54148800000002</v>
      </c>
      <c r="BH11" s="388">
        <f t="shared" si="6"/>
        <v>0</v>
      </c>
      <c r="BI11" s="388">
        <f t="shared" si="7"/>
        <v>390.39904799999999</v>
      </c>
      <c r="BJ11" s="388">
        <f t="shared" si="8"/>
        <v>423.19680000000005</v>
      </c>
      <c r="BK11" s="388">
        <f t="shared" si="9"/>
        <v>0</v>
      </c>
      <c r="BL11" s="388">
        <f t="shared" si="32"/>
        <v>15139.512856000001</v>
      </c>
      <c r="BM11" s="388">
        <f t="shared" si="33"/>
        <v>0</v>
      </c>
      <c r="BN11" s="388">
        <f t="shared" si="10"/>
        <v>13750</v>
      </c>
      <c r="BO11" s="388">
        <f t="shared" si="11"/>
        <v>0</v>
      </c>
      <c r="BP11" s="388">
        <f t="shared" si="12"/>
        <v>4373.0335999999998</v>
      </c>
      <c r="BQ11" s="388">
        <f t="shared" si="13"/>
        <v>1022.7256000000001</v>
      </c>
      <c r="BR11" s="388">
        <f t="shared" si="14"/>
        <v>7885.5670399999999</v>
      </c>
      <c r="BS11" s="388">
        <f t="shared" si="15"/>
        <v>508.54148800000002</v>
      </c>
      <c r="BT11" s="388">
        <f t="shared" si="16"/>
        <v>0</v>
      </c>
      <c r="BU11" s="388">
        <f t="shared" si="17"/>
        <v>390.39904799999999</v>
      </c>
      <c r="BV11" s="388">
        <f t="shared" si="18"/>
        <v>430.25008000000003</v>
      </c>
      <c r="BW11" s="388">
        <f t="shared" si="19"/>
        <v>0</v>
      </c>
      <c r="BX11" s="388">
        <f t="shared" si="34"/>
        <v>14610.516855999998</v>
      </c>
      <c r="BY11" s="388">
        <f t="shared" si="35"/>
        <v>0</v>
      </c>
      <c r="BZ11" s="388">
        <f t="shared" si="36"/>
        <v>1250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-536.04928000000075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7.0532800000000186</v>
      </c>
      <c r="CI11" s="388">
        <f t="shared" si="26"/>
        <v>0</v>
      </c>
      <c r="CJ11" s="388">
        <f t="shared" si="39"/>
        <v>-528.99600000000078</v>
      </c>
      <c r="CK11" s="388" t="str">
        <f t="shared" si="40"/>
        <v/>
      </c>
      <c r="CL11" s="388" t="str">
        <f t="shared" si="41"/>
        <v/>
      </c>
      <c r="CM11" s="388" t="str">
        <f t="shared" si="42"/>
        <v/>
      </c>
      <c r="CN11" s="388" t="str">
        <f t="shared" si="43"/>
        <v>0229-20</v>
      </c>
    </row>
    <row r="12" spans="1:92" ht="15.75" thickBot="1">
      <c r="A12" s="377" t="s">
        <v>162</v>
      </c>
      <c r="B12" s="377" t="s">
        <v>163</v>
      </c>
      <c r="C12" s="377" t="s">
        <v>246</v>
      </c>
      <c r="D12" s="377" t="s">
        <v>247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248</v>
      </c>
      <c r="L12" s="377" t="s">
        <v>249</v>
      </c>
      <c r="M12" s="377" t="s">
        <v>172</v>
      </c>
      <c r="N12" s="377" t="s">
        <v>250</v>
      </c>
      <c r="O12" s="380">
        <v>0</v>
      </c>
      <c r="P12" s="386">
        <v>1</v>
      </c>
      <c r="Q12" s="386">
        <v>0</v>
      </c>
      <c r="R12" s="381">
        <v>0</v>
      </c>
      <c r="S12" s="386">
        <v>0</v>
      </c>
      <c r="T12" s="381">
        <v>6732</v>
      </c>
      <c r="U12" s="381">
        <v>0</v>
      </c>
      <c r="V12" s="381">
        <v>640.66</v>
      </c>
      <c r="W12" s="381">
        <v>6732</v>
      </c>
      <c r="X12" s="381">
        <v>640.66</v>
      </c>
      <c r="Y12" s="381">
        <v>6732</v>
      </c>
      <c r="Z12" s="381">
        <v>640.66</v>
      </c>
      <c r="AA12" s="379"/>
      <c r="AB12" s="377" t="s">
        <v>45</v>
      </c>
      <c r="AC12" s="377" t="s">
        <v>45</v>
      </c>
      <c r="AD12" s="379"/>
      <c r="AE12" s="379"/>
      <c r="AF12" s="379"/>
      <c r="AG12" s="379"/>
      <c r="AH12" s="380">
        <v>0</v>
      </c>
      <c r="AI12" s="380">
        <v>0</v>
      </c>
      <c r="AJ12" s="379"/>
      <c r="AK12" s="379"/>
      <c r="AL12" s="377" t="s">
        <v>182</v>
      </c>
      <c r="AM12" s="379"/>
      <c r="AN12" s="379"/>
      <c r="AO12" s="380">
        <v>0</v>
      </c>
      <c r="AP12" s="386">
        <v>0</v>
      </c>
      <c r="AQ12" s="386">
        <v>0</v>
      </c>
      <c r="AR12" s="385"/>
      <c r="AS12" s="388">
        <f t="shared" si="27"/>
        <v>0</v>
      </c>
      <c r="AT12">
        <f t="shared" si="28"/>
        <v>0</v>
      </c>
      <c r="AU12" s="388" t="str">
        <f>IF(AT12=0,"",IF(AND(AT12=1,M12="F",SUMIF(C2:C53,C12,AS2:AS53)&lt;=1),SUMIF(C2:C53,C12,AS2:AS53),IF(AND(AT12=1,M12="F",SUMIF(C2:C53,C12,AS2:AS53)&gt;1),1,"")))</f>
        <v/>
      </c>
      <c r="AV12" s="388" t="str">
        <f>IF(AT12=0,"",IF(AND(AT12=3,M12="F",SUMIF(C2:C53,C12,AS2:AS53)&lt;=1),SUMIF(C2:C53,C12,AS2:AS53),IF(AND(AT12=3,M12="F",SUMIF(C2:C53,C12,AS2:AS53)&gt;1),1,"")))</f>
        <v/>
      </c>
      <c r="AW12" s="388">
        <f>SUMIF(C2:C53,C12,O2:O53)</f>
        <v>0</v>
      </c>
      <c r="AX12" s="388">
        <f>IF(AND(M12="F",AS12&lt;&gt;0),SUMIF(C2:C53,C12,W2:W53),0)</f>
        <v>0</v>
      </c>
      <c r="AY12" s="388" t="str">
        <f t="shared" si="29"/>
        <v/>
      </c>
      <c r="AZ12" s="388" t="str">
        <f t="shared" si="30"/>
        <v/>
      </c>
      <c r="BA12" s="388">
        <f t="shared" si="31"/>
        <v>0</v>
      </c>
      <c r="BB12" s="388">
        <f t="shared" si="0"/>
        <v>0</v>
      </c>
      <c r="BC12" s="388">
        <f t="shared" si="1"/>
        <v>0</v>
      </c>
      <c r="BD12" s="388">
        <f t="shared" si="2"/>
        <v>0</v>
      </c>
      <c r="BE12" s="388">
        <f t="shared" si="3"/>
        <v>0</v>
      </c>
      <c r="BF12" s="388">
        <f t="shared" si="4"/>
        <v>0</v>
      </c>
      <c r="BG12" s="388">
        <f t="shared" si="5"/>
        <v>0</v>
      </c>
      <c r="BH12" s="388">
        <f t="shared" si="6"/>
        <v>0</v>
      </c>
      <c r="BI12" s="388">
        <f t="shared" si="7"/>
        <v>0</v>
      </c>
      <c r="BJ12" s="388">
        <f t="shared" si="8"/>
        <v>0</v>
      </c>
      <c r="BK12" s="388">
        <f t="shared" si="9"/>
        <v>0</v>
      </c>
      <c r="BL12" s="388">
        <f t="shared" si="32"/>
        <v>0</v>
      </c>
      <c r="BM12" s="388">
        <f t="shared" si="33"/>
        <v>0</v>
      </c>
      <c r="BN12" s="388">
        <f t="shared" si="10"/>
        <v>0</v>
      </c>
      <c r="BO12" s="388">
        <f t="shared" si="11"/>
        <v>0</v>
      </c>
      <c r="BP12" s="388">
        <f t="shared" si="12"/>
        <v>0</v>
      </c>
      <c r="BQ12" s="388">
        <f t="shared" si="13"/>
        <v>0</v>
      </c>
      <c r="BR12" s="388">
        <f t="shared" si="14"/>
        <v>0</v>
      </c>
      <c r="BS12" s="388">
        <f t="shared" si="15"/>
        <v>0</v>
      </c>
      <c r="BT12" s="388">
        <f t="shared" si="16"/>
        <v>0</v>
      </c>
      <c r="BU12" s="388">
        <f t="shared" si="17"/>
        <v>0</v>
      </c>
      <c r="BV12" s="388">
        <f t="shared" si="18"/>
        <v>0</v>
      </c>
      <c r="BW12" s="388">
        <f t="shared" si="19"/>
        <v>0</v>
      </c>
      <c r="BX12" s="388">
        <f t="shared" si="34"/>
        <v>0</v>
      </c>
      <c r="BY12" s="388">
        <f t="shared" si="35"/>
        <v>0</v>
      </c>
      <c r="BZ12" s="388">
        <f t="shared" si="36"/>
        <v>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0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0</v>
      </c>
      <c r="CI12" s="388">
        <f t="shared" si="26"/>
        <v>0</v>
      </c>
      <c r="CJ12" s="388">
        <f t="shared" si="39"/>
        <v>0</v>
      </c>
      <c r="CK12" s="388" t="str">
        <f t="shared" si="40"/>
        <v/>
      </c>
      <c r="CL12" s="388">
        <f t="shared" si="41"/>
        <v>6732</v>
      </c>
      <c r="CM12" s="388">
        <f t="shared" si="42"/>
        <v>640.66</v>
      </c>
      <c r="CN12" s="388" t="str">
        <f t="shared" si="43"/>
        <v>0229-20</v>
      </c>
    </row>
    <row r="13" spans="1:92" ht="15.75" thickBot="1">
      <c r="A13" s="377" t="s">
        <v>162</v>
      </c>
      <c r="B13" s="377" t="s">
        <v>163</v>
      </c>
      <c r="C13" s="377" t="s">
        <v>251</v>
      </c>
      <c r="D13" s="377" t="s">
        <v>252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253</v>
      </c>
      <c r="L13" s="377" t="s">
        <v>249</v>
      </c>
      <c r="M13" s="377" t="s">
        <v>172</v>
      </c>
      <c r="N13" s="377" t="s">
        <v>254</v>
      </c>
      <c r="O13" s="380">
        <v>1</v>
      </c>
      <c r="P13" s="386">
        <v>1</v>
      </c>
      <c r="Q13" s="386">
        <v>1</v>
      </c>
      <c r="R13" s="381">
        <v>80</v>
      </c>
      <c r="S13" s="386">
        <v>1</v>
      </c>
      <c r="T13" s="381">
        <v>134052</v>
      </c>
      <c r="U13" s="381">
        <v>0</v>
      </c>
      <c r="V13" s="381">
        <v>39338.74</v>
      </c>
      <c r="W13" s="381">
        <v>134243.20000000001</v>
      </c>
      <c r="X13" s="381">
        <v>40571.56</v>
      </c>
      <c r="Y13" s="381">
        <v>134243.20000000001</v>
      </c>
      <c r="Z13" s="381">
        <v>40814.74</v>
      </c>
      <c r="AA13" s="377" t="s">
        <v>255</v>
      </c>
      <c r="AB13" s="377" t="s">
        <v>256</v>
      </c>
      <c r="AC13" s="377" t="s">
        <v>257</v>
      </c>
      <c r="AD13" s="377" t="s">
        <v>258</v>
      </c>
      <c r="AE13" s="377" t="s">
        <v>253</v>
      </c>
      <c r="AF13" s="377" t="s">
        <v>259</v>
      </c>
      <c r="AG13" s="377" t="s">
        <v>179</v>
      </c>
      <c r="AH13" s="382">
        <v>64.540000000000006</v>
      </c>
      <c r="AI13" s="382">
        <v>43654.8</v>
      </c>
      <c r="AJ13" s="377" t="s">
        <v>180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80</v>
      </c>
      <c r="AP13" s="386">
        <v>1</v>
      </c>
      <c r="AQ13" s="386">
        <v>1</v>
      </c>
      <c r="AR13" s="384" t="s">
        <v>184</v>
      </c>
      <c r="AS13" s="388">
        <f t="shared" si="27"/>
        <v>1</v>
      </c>
      <c r="AT13">
        <f t="shared" si="28"/>
        <v>1</v>
      </c>
      <c r="AU13" s="388">
        <f>IF(AT13=0,"",IF(AND(AT13=1,M13="F",SUMIF(C2:C53,C13,AS2:AS53)&lt;=1),SUMIF(C2:C53,C13,AS2:AS53),IF(AND(AT13=1,M13="F",SUMIF(C2:C53,C13,AS2:AS53)&gt;1),1,"")))</f>
        <v>1</v>
      </c>
      <c r="AV13" s="388" t="str">
        <f>IF(AT13=0,"",IF(AND(AT13=3,M13="F",SUMIF(C2:C53,C13,AS2:AS53)&lt;=1),SUMIF(C2:C53,C13,AS2:AS53),IF(AND(AT13=3,M13="F",SUMIF(C2:C53,C13,AS2:AS53)&gt;1),1,"")))</f>
        <v/>
      </c>
      <c r="AW13" s="388">
        <f>SUMIF(C2:C53,C13,O2:O53)</f>
        <v>1</v>
      </c>
      <c r="AX13" s="388">
        <f>IF(AND(M13="F",AS13&lt;&gt;0),SUMIF(C2:C53,C13,W2:W53),0)</f>
        <v>134243.20000000001</v>
      </c>
      <c r="AY13" s="388">
        <f t="shared" si="29"/>
        <v>134243.20000000001</v>
      </c>
      <c r="AZ13" s="388" t="str">
        <f t="shared" si="30"/>
        <v/>
      </c>
      <c r="BA13" s="388">
        <f t="shared" si="31"/>
        <v>0</v>
      </c>
      <c r="BB13" s="388">
        <f t="shared" si="0"/>
        <v>12500</v>
      </c>
      <c r="BC13" s="388">
        <f t="shared" si="1"/>
        <v>0</v>
      </c>
      <c r="BD13" s="388">
        <f t="shared" si="2"/>
        <v>8323.0784000000003</v>
      </c>
      <c r="BE13" s="388">
        <f t="shared" si="3"/>
        <v>1946.5264000000002</v>
      </c>
      <c r="BF13" s="388">
        <f t="shared" si="4"/>
        <v>16028.638080000002</v>
      </c>
      <c r="BG13" s="388">
        <f t="shared" si="5"/>
        <v>967.89347200000009</v>
      </c>
      <c r="BH13" s="388">
        <f t="shared" si="6"/>
        <v>0</v>
      </c>
      <c r="BI13" s="388">
        <f t="shared" si="7"/>
        <v>0</v>
      </c>
      <c r="BJ13" s="388">
        <f t="shared" si="8"/>
        <v>805.45920000000012</v>
      </c>
      <c r="BK13" s="388">
        <f t="shared" si="9"/>
        <v>0</v>
      </c>
      <c r="BL13" s="388">
        <f t="shared" si="32"/>
        <v>28071.595552000006</v>
      </c>
      <c r="BM13" s="388">
        <f t="shared" si="33"/>
        <v>0</v>
      </c>
      <c r="BN13" s="388">
        <f t="shared" si="10"/>
        <v>13750</v>
      </c>
      <c r="BO13" s="388">
        <f t="shared" si="11"/>
        <v>0</v>
      </c>
      <c r="BP13" s="388">
        <f t="shared" si="12"/>
        <v>8323.0784000000003</v>
      </c>
      <c r="BQ13" s="388">
        <f t="shared" si="13"/>
        <v>1946.5264000000002</v>
      </c>
      <c r="BR13" s="388">
        <f t="shared" si="14"/>
        <v>15008.38976</v>
      </c>
      <c r="BS13" s="388">
        <f t="shared" si="15"/>
        <v>967.89347200000009</v>
      </c>
      <c r="BT13" s="388">
        <f t="shared" si="16"/>
        <v>0</v>
      </c>
      <c r="BU13" s="388">
        <f t="shared" si="17"/>
        <v>0</v>
      </c>
      <c r="BV13" s="388">
        <f t="shared" si="18"/>
        <v>818.88352000000009</v>
      </c>
      <c r="BW13" s="388">
        <f t="shared" si="19"/>
        <v>0</v>
      </c>
      <c r="BX13" s="388">
        <f t="shared" si="34"/>
        <v>27064.771551999998</v>
      </c>
      <c r="BY13" s="388">
        <f t="shared" si="35"/>
        <v>0</v>
      </c>
      <c r="BZ13" s="388">
        <f t="shared" si="36"/>
        <v>1250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-1020.2483200000014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13.424320000000037</v>
      </c>
      <c r="CI13" s="388">
        <f t="shared" si="26"/>
        <v>0</v>
      </c>
      <c r="CJ13" s="388">
        <f t="shared" si="39"/>
        <v>-1006.8240000000013</v>
      </c>
      <c r="CK13" s="388" t="str">
        <f t="shared" si="40"/>
        <v/>
      </c>
      <c r="CL13" s="388" t="str">
        <f t="shared" si="41"/>
        <v/>
      </c>
      <c r="CM13" s="388" t="str">
        <f t="shared" si="42"/>
        <v/>
      </c>
      <c r="CN13" s="388" t="str">
        <f t="shared" si="43"/>
        <v>0229-20</v>
      </c>
    </row>
    <row r="14" spans="1:92" ht="15.75" thickBot="1">
      <c r="A14" s="377" t="s">
        <v>162</v>
      </c>
      <c r="B14" s="377" t="s">
        <v>163</v>
      </c>
      <c r="C14" s="377" t="s">
        <v>260</v>
      </c>
      <c r="D14" s="377" t="s">
        <v>247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248</v>
      </c>
      <c r="L14" s="377" t="s">
        <v>249</v>
      </c>
      <c r="M14" s="377" t="s">
        <v>261</v>
      </c>
      <c r="N14" s="377" t="s">
        <v>250</v>
      </c>
      <c r="O14" s="380">
        <v>0</v>
      </c>
      <c r="P14" s="386">
        <v>1</v>
      </c>
      <c r="Q14" s="386">
        <v>0</v>
      </c>
      <c r="R14" s="381">
        <v>0</v>
      </c>
      <c r="S14" s="386">
        <v>0</v>
      </c>
      <c r="T14" s="381">
        <v>0</v>
      </c>
      <c r="U14" s="381">
        <v>0</v>
      </c>
      <c r="V14" s="381">
        <v>0</v>
      </c>
      <c r="W14" s="381">
        <v>0</v>
      </c>
      <c r="X14" s="381">
        <v>0</v>
      </c>
      <c r="Y14" s="381">
        <v>0</v>
      </c>
      <c r="Z14" s="381">
        <v>0</v>
      </c>
      <c r="AA14" s="379"/>
      <c r="AB14" s="377" t="s">
        <v>45</v>
      </c>
      <c r="AC14" s="377" t="s">
        <v>45</v>
      </c>
      <c r="AD14" s="379"/>
      <c r="AE14" s="379"/>
      <c r="AF14" s="379"/>
      <c r="AG14" s="379"/>
      <c r="AH14" s="380">
        <v>0</v>
      </c>
      <c r="AI14" s="380">
        <v>0</v>
      </c>
      <c r="AJ14" s="379"/>
      <c r="AK14" s="379"/>
      <c r="AL14" s="377" t="s">
        <v>182</v>
      </c>
      <c r="AM14" s="379"/>
      <c r="AN14" s="379"/>
      <c r="AO14" s="380">
        <v>0</v>
      </c>
      <c r="AP14" s="386">
        <v>0</v>
      </c>
      <c r="AQ14" s="386">
        <v>0</v>
      </c>
      <c r="AR14" s="385"/>
      <c r="AS14" s="388">
        <f t="shared" si="27"/>
        <v>0</v>
      </c>
      <c r="AT14">
        <f t="shared" si="28"/>
        <v>0</v>
      </c>
      <c r="AU14" s="388" t="str">
        <f>IF(AT14=0,"",IF(AND(AT14=1,M14="F",SUMIF(C2:C53,C14,AS2:AS53)&lt;=1),SUMIF(C2:C53,C14,AS2:AS53),IF(AND(AT14=1,M14="F",SUMIF(C2:C53,C14,AS2:AS53)&gt;1),1,"")))</f>
        <v/>
      </c>
      <c r="AV14" s="388" t="str">
        <f>IF(AT14=0,"",IF(AND(AT14=3,M14="F",SUMIF(C2:C53,C14,AS2:AS53)&lt;=1),SUMIF(C2:C53,C14,AS2:AS53),IF(AND(AT14=3,M14="F",SUMIF(C2:C53,C14,AS2:AS53)&gt;1),1,"")))</f>
        <v/>
      </c>
      <c r="AW14" s="388">
        <f>SUMIF(C2:C53,C14,O2:O53)</f>
        <v>0</v>
      </c>
      <c r="AX14" s="388">
        <f>IF(AND(M14="F",AS14&lt;&gt;0),SUMIF(C2:C53,C14,W2:W53),0)</f>
        <v>0</v>
      </c>
      <c r="AY14" s="388" t="str">
        <f t="shared" si="29"/>
        <v/>
      </c>
      <c r="AZ14" s="388" t="str">
        <f t="shared" si="30"/>
        <v/>
      </c>
      <c r="BA14" s="388">
        <f t="shared" si="31"/>
        <v>0</v>
      </c>
      <c r="BB14" s="388">
        <f t="shared" si="0"/>
        <v>0</v>
      </c>
      <c r="BC14" s="388">
        <f t="shared" si="1"/>
        <v>0</v>
      </c>
      <c r="BD14" s="388">
        <f t="shared" si="2"/>
        <v>0</v>
      </c>
      <c r="BE14" s="388">
        <f t="shared" si="3"/>
        <v>0</v>
      </c>
      <c r="BF14" s="388">
        <f t="shared" si="4"/>
        <v>0</v>
      </c>
      <c r="BG14" s="388">
        <f t="shared" si="5"/>
        <v>0</v>
      </c>
      <c r="BH14" s="388">
        <f t="shared" si="6"/>
        <v>0</v>
      </c>
      <c r="BI14" s="388">
        <f t="shared" si="7"/>
        <v>0</v>
      </c>
      <c r="BJ14" s="388">
        <f t="shared" si="8"/>
        <v>0</v>
      </c>
      <c r="BK14" s="388">
        <f t="shared" si="9"/>
        <v>0</v>
      </c>
      <c r="BL14" s="388">
        <f t="shared" si="32"/>
        <v>0</v>
      </c>
      <c r="BM14" s="388">
        <f t="shared" si="33"/>
        <v>0</v>
      </c>
      <c r="BN14" s="388">
        <f t="shared" si="10"/>
        <v>0</v>
      </c>
      <c r="BO14" s="388">
        <f t="shared" si="11"/>
        <v>0</v>
      </c>
      <c r="BP14" s="388">
        <f t="shared" si="12"/>
        <v>0</v>
      </c>
      <c r="BQ14" s="388">
        <f t="shared" si="13"/>
        <v>0</v>
      </c>
      <c r="BR14" s="388">
        <f t="shared" si="14"/>
        <v>0</v>
      </c>
      <c r="BS14" s="388">
        <f t="shared" si="15"/>
        <v>0</v>
      </c>
      <c r="BT14" s="388">
        <f t="shared" si="16"/>
        <v>0</v>
      </c>
      <c r="BU14" s="388">
        <f t="shared" si="17"/>
        <v>0</v>
      </c>
      <c r="BV14" s="388">
        <f t="shared" si="18"/>
        <v>0</v>
      </c>
      <c r="BW14" s="388">
        <f t="shared" si="19"/>
        <v>0</v>
      </c>
      <c r="BX14" s="388">
        <f t="shared" si="34"/>
        <v>0</v>
      </c>
      <c r="BY14" s="388">
        <f t="shared" si="35"/>
        <v>0</v>
      </c>
      <c r="BZ14" s="388">
        <f t="shared" si="36"/>
        <v>0</v>
      </c>
      <c r="CA14" s="388">
        <f t="shared" si="37"/>
        <v>0</v>
      </c>
      <c r="CB14" s="388">
        <f t="shared" si="38"/>
        <v>0</v>
      </c>
      <c r="CC14" s="388">
        <f t="shared" si="20"/>
        <v>0</v>
      </c>
      <c r="CD14" s="388">
        <f t="shared" si="21"/>
        <v>0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0</v>
      </c>
      <c r="CI14" s="388">
        <f t="shared" si="26"/>
        <v>0</v>
      </c>
      <c r="CJ14" s="388">
        <f t="shared" si="39"/>
        <v>0</v>
      </c>
      <c r="CK14" s="388" t="str">
        <f t="shared" si="40"/>
        <v/>
      </c>
      <c r="CL14" s="388">
        <f t="shared" si="41"/>
        <v>0</v>
      </c>
      <c r="CM14" s="388">
        <f t="shared" si="42"/>
        <v>0</v>
      </c>
      <c r="CN14" s="388" t="str">
        <f t="shared" si="43"/>
        <v>0229-20</v>
      </c>
    </row>
    <row r="15" spans="1:92" ht="15.75" thickBot="1">
      <c r="A15" s="377" t="s">
        <v>162</v>
      </c>
      <c r="B15" s="377" t="s">
        <v>163</v>
      </c>
      <c r="C15" s="377" t="s">
        <v>262</v>
      </c>
      <c r="D15" s="377" t="s">
        <v>263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264</v>
      </c>
      <c r="L15" s="377" t="s">
        <v>182</v>
      </c>
      <c r="M15" s="377" t="s">
        <v>172</v>
      </c>
      <c r="N15" s="377" t="s">
        <v>173</v>
      </c>
      <c r="O15" s="380">
        <v>1</v>
      </c>
      <c r="P15" s="386">
        <v>1</v>
      </c>
      <c r="Q15" s="386">
        <v>1</v>
      </c>
      <c r="R15" s="381">
        <v>80</v>
      </c>
      <c r="S15" s="386">
        <v>1</v>
      </c>
      <c r="T15" s="381">
        <v>91255.87</v>
      </c>
      <c r="U15" s="381">
        <v>0</v>
      </c>
      <c r="V15" s="381">
        <v>31190.38</v>
      </c>
      <c r="W15" s="381">
        <v>88088</v>
      </c>
      <c r="X15" s="381">
        <v>31408.05</v>
      </c>
      <c r="Y15" s="381">
        <v>88088</v>
      </c>
      <c r="Z15" s="381">
        <v>31997.39</v>
      </c>
      <c r="AA15" s="377" t="s">
        <v>265</v>
      </c>
      <c r="AB15" s="377" t="s">
        <v>266</v>
      </c>
      <c r="AC15" s="377" t="s">
        <v>197</v>
      </c>
      <c r="AD15" s="377" t="s">
        <v>267</v>
      </c>
      <c r="AE15" s="377" t="s">
        <v>264</v>
      </c>
      <c r="AF15" s="377" t="s">
        <v>268</v>
      </c>
      <c r="AG15" s="377" t="s">
        <v>179</v>
      </c>
      <c r="AH15" s="382">
        <v>42.35</v>
      </c>
      <c r="AI15" s="382">
        <v>34600.699999999997</v>
      </c>
      <c r="AJ15" s="377" t="s">
        <v>180</v>
      </c>
      <c r="AK15" s="377" t="s">
        <v>181</v>
      </c>
      <c r="AL15" s="377" t="s">
        <v>182</v>
      </c>
      <c r="AM15" s="377" t="s">
        <v>183</v>
      </c>
      <c r="AN15" s="377" t="s">
        <v>66</v>
      </c>
      <c r="AO15" s="380">
        <v>80</v>
      </c>
      <c r="AP15" s="386">
        <v>1</v>
      </c>
      <c r="AQ15" s="386">
        <v>1</v>
      </c>
      <c r="AR15" s="384" t="s">
        <v>184</v>
      </c>
      <c r="AS15" s="388">
        <f t="shared" si="27"/>
        <v>1</v>
      </c>
      <c r="AT15">
        <f t="shared" si="28"/>
        <v>1</v>
      </c>
      <c r="AU15" s="388">
        <f>IF(AT15=0,"",IF(AND(AT15=1,M15="F",SUMIF(C2:C53,C15,AS2:AS53)&lt;=1),SUMIF(C2:C53,C15,AS2:AS53),IF(AND(AT15=1,M15="F",SUMIF(C2:C53,C15,AS2:AS53)&gt;1),1,"")))</f>
        <v>1</v>
      </c>
      <c r="AV15" s="388" t="str">
        <f>IF(AT15=0,"",IF(AND(AT15=3,M15="F",SUMIF(C2:C53,C15,AS2:AS53)&lt;=1),SUMIF(C2:C53,C15,AS2:AS53),IF(AND(AT15=3,M15="F",SUMIF(C2:C53,C15,AS2:AS53)&gt;1),1,"")))</f>
        <v/>
      </c>
      <c r="AW15" s="388">
        <f>SUMIF(C2:C53,C15,O2:O53)</f>
        <v>1</v>
      </c>
      <c r="AX15" s="388">
        <f>IF(AND(M15="F",AS15&lt;&gt;0),SUMIF(C2:C53,C15,W2:W53),0)</f>
        <v>88088</v>
      </c>
      <c r="AY15" s="388">
        <f t="shared" si="29"/>
        <v>88088</v>
      </c>
      <c r="AZ15" s="388" t="str">
        <f t="shared" si="30"/>
        <v/>
      </c>
      <c r="BA15" s="388">
        <f t="shared" si="31"/>
        <v>0</v>
      </c>
      <c r="BB15" s="388">
        <f t="shared" si="0"/>
        <v>12500</v>
      </c>
      <c r="BC15" s="388">
        <f t="shared" si="1"/>
        <v>0</v>
      </c>
      <c r="BD15" s="388">
        <f t="shared" si="2"/>
        <v>5461.4560000000001</v>
      </c>
      <c r="BE15" s="388">
        <f t="shared" si="3"/>
        <v>1277.2760000000001</v>
      </c>
      <c r="BF15" s="388">
        <f t="shared" si="4"/>
        <v>10517.707200000001</v>
      </c>
      <c r="BG15" s="388">
        <f t="shared" si="5"/>
        <v>635.11448000000007</v>
      </c>
      <c r="BH15" s="388">
        <f t="shared" si="6"/>
        <v>0</v>
      </c>
      <c r="BI15" s="388">
        <f t="shared" si="7"/>
        <v>487.56707999999998</v>
      </c>
      <c r="BJ15" s="388">
        <f t="shared" si="8"/>
        <v>528.52800000000002</v>
      </c>
      <c r="BK15" s="388">
        <f t="shared" si="9"/>
        <v>0</v>
      </c>
      <c r="BL15" s="388">
        <f t="shared" si="32"/>
        <v>18907.64876</v>
      </c>
      <c r="BM15" s="388">
        <f t="shared" si="33"/>
        <v>0</v>
      </c>
      <c r="BN15" s="388">
        <f t="shared" si="10"/>
        <v>13750</v>
      </c>
      <c r="BO15" s="388">
        <f t="shared" si="11"/>
        <v>0</v>
      </c>
      <c r="BP15" s="388">
        <f t="shared" si="12"/>
        <v>5461.4560000000001</v>
      </c>
      <c r="BQ15" s="388">
        <f t="shared" si="13"/>
        <v>1277.2760000000001</v>
      </c>
      <c r="BR15" s="388">
        <f t="shared" si="14"/>
        <v>9848.2384000000002</v>
      </c>
      <c r="BS15" s="388">
        <f t="shared" si="15"/>
        <v>635.11448000000007</v>
      </c>
      <c r="BT15" s="388">
        <f t="shared" si="16"/>
        <v>0</v>
      </c>
      <c r="BU15" s="388">
        <f t="shared" si="17"/>
        <v>487.56707999999998</v>
      </c>
      <c r="BV15" s="388">
        <f t="shared" si="18"/>
        <v>537.33680000000004</v>
      </c>
      <c r="BW15" s="388">
        <f t="shared" si="19"/>
        <v>0</v>
      </c>
      <c r="BX15" s="388">
        <f t="shared" si="34"/>
        <v>18246.98876</v>
      </c>
      <c r="BY15" s="388">
        <f t="shared" si="35"/>
        <v>0</v>
      </c>
      <c r="BZ15" s="388">
        <f t="shared" si="36"/>
        <v>1250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-669.46880000000078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8.8088000000000228</v>
      </c>
      <c r="CI15" s="388">
        <f t="shared" si="26"/>
        <v>0</v>
      </c>
      <c r="CJ15" s="388">
        <f t="shared" si="39"/>
        <v>-660.66000000000076</v>
      </c>
      <c r="CK15" s="388" t="str">
        <f t="shared" si="40"/>
        <v/>
      </c>
      <c r="CL15" s="388" t="str">
        <f t="shared" si="41"/>
        <v/>
      </c>
      <c r="CM15" s="388" t="str">
        <f t="shared" si="42"/>
        <v/>
      </c>
      <c r="CN15" s="388" t="str">
        <f t="shared" si="43"/>
        <v>0229-20</v>
      </c>
    </row>
    <row r="16" spans="1:92" ht="15.75" thickBot="1">
      <c r="A16" s="377" t="s">
        <v>162</v>
      </c>
      <c r="B16" s="377" t="s">
        <v>163</v>
      </c>
      <c r="C16" s="377" t="s">
        <v>269</v>
      </c>
      <c r="D16" s="377" t="s">
        <v>247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248</v>
      </c>
      <c r="L16" s="377" t="s">
        <v>249</v>
      </c>
      <c r="M16" s="377" t="s">
        <v>261</v>
      </c>
      <c r="N16" s="377" t="s">
        <v>250</v>
      </c>
      <c r="O16" s="380">
        <v>0</v>
      </c>
      <c r="P16" s="386">
        <v>1</v>
      </c>
      <c r="Q16" s="386">
        <v>0</v>
      </c>
      <c r="R16" s="381">
        <v>0</v>
      </c>
      <c r="S16" s="386">
        <v>0</v>
      </c>
      <c r="T16" s="381">
        <v>0</v>
      </c>
      <c r="U16" s="381">
        <v>0</v>
      </c>
      <c r="V16" s="381">
        <v>0</v>
      </c>
      <c r="W16" s="381">
        <v>0</v>
      </c>
      <c r="X16" s="381">
        <v>0</v>
      </c>
      <c r="Y16" s="381">
        <v>0</v>
      </c>
      <c r="Z16" s="381">
        <v>0</v>
      </c>
      <c r="AA16" s="379"/>
      <c r="AB16" s="377" t="s">
        <v>45</v>
      </c>
      <c r="AC16" s="377" t="s">
        <v>45</v>
      </c>
      <c r="AD16" s="379"/>
      <c r="AE16" s="379"/>
      <c r="AF16" s="379"/>
      <c r="AG16" s="379"/>
      <c r="AH16" s="380">
        <v>0</v>
      </c>
      <c r="AI16" s="380">
        <v>0</v>
      </c>
      <c r="AJ16" s="379"/>
      <c r="AK16" s="379"/>
      <c r="AL16" s="377" t="s">
        <v>182</v>
      </c>
      <c r="AM16" s="379"/>
      <c r="AN16" s="379"/>
      <c r="AO16" s="380">
        <v>0</v>
      </c>
      <c r="AP16" s="386">
        <v>0</v>
      </c>
      <c r="AQ16" s="386">
        <v>0</v>
      </c>
      <c r="AR16" s="385"/>
      <c r="AS16" s="388">
        <f t="shared" si="27"/>
        <v>0</v>
      </c>
      <c r="AT16">
        <f t="shared" si="28"/>
        <v>0</v>
      </c>
      <c r="AU16" s="388" t="str">
        <f>IF(AT16=0,"",IF(AND(AT16=1,M16="F",SUMIF(C2:C53,C16,AS2:AS53)&lt;=1),SUMIF(C2:C53,C16,AS2:AS53),IF(AND(AT16=1,M16="F",SUMIF(C2:C53,C16,AS2:AS53)&gt;1),1,"")))</f>
        <v/>
      </c>
      <c r="AV16" s="388" t="str">
        <f>IF(AT16=0,"",IF(AND(AT16=3,M16="F",SUMIF(C2:C53,C16,AS2:AS53)&lt;=1),SUMIF(C2:C53,C16,AS2:AS53),IF(AND(AT16=3,M16="F",SUMIF(C2:C53,C16,AS2:AS53)&gt;1),1,"")))</f>
        <v/>
      </c>
      <c r="AW16" s="388">
        <f>SUMIF(C2:C53,C16,O2:O53)</f>
        <v>0</v>
      </c>
      <c r="AX16" s="388">
        <f>IF(AND(M16="F",AS16&lt;&gt;0),SUMIF(C2:C53,C16,W2:W53),0)</f>
        <v>0</v>
      </c>
      <c r="AY16" s="388" t="str">
        <f t="shared" si="29"/>
        <v/>
      </c>
      <c r="AZ16" s="388" t="str">
        <f t="shared" si="30"/>
        <v/>
      </c>
      <c r="BA16" s="388">
        <f t="shared" si="31"/>
        <v>0</v>
      </c>
      <c r="BB16" s="388">
        <f t="shared" si="0"/>
        <v>0</v>
      </c>
      <c r="BC16" s="388">
        <f t="shared" si="1"/>
        <v>0</v>
      </c>
      <c r="BD16" s="388">
        <f t="shared" si="2"/>
        <v>0</v>
      </c>
      <c r="BE16" s="388">
        <f t="shared" si="3"/>
        <v>0</v>
      </c>
      <c r="BF16" s="388">
        <f t="shared" si="4"/>
        <v>0</v>
      </c>
      <c r="BG16" s="388">
        <f t="shared" si="5"/>
        <v>0</v>
      </c>
      <c r="BH16" s="388">
        <f t="shared" si="6"/>
        <v>0</v>
      </c>
      <c r="BI16" s="388">
        <f t="shared" si="7"/>
        <v>0</v>
      </c>
      <c r="BJ16" s="388">
        <f t="shared" si="8"/>
        <v>0</v>
      </c>
      <c r="BK16" s="388">
        <f t="shared" si="9"/>
        <v>0</v>
      </c>
      <c r="BL16" s="388">
        <f t="shared" si="32"/>
        <v>0</v>
      </c>
      <c r="BM16" s="388">
        <f t="shared" si="33"/>
        <v>0</v>
      </c>
      <c r="BN16" s="388">
        <f t="shared" si="10"/>
        <v>0</v>
      </c>
      <c r="BO16" s="388">
        <f t="shared" si="11"/>
        <v>0</v>
      </c>
      <c r="BP16" s="388">
        <f t="shared" si="12"/>
        <v>0</v>
      </c>
      <c r="BQ16" s="388">
        <f t="shared" si="13"/>
        <v>0</v>
      </c>
      <c r="BR16" s="388">
        <f t="shared" si="14"/>
        <v>0</v>
      </c>
      <c r="BS16" s="388">
        <f t="shared" si="15"/>
        <v>0</v>
      </c>
      <c r="BT16" s="388">
        <f t="shared" si="16"/>
        <v>0</v>
      </c>
      <c r="BU16" s="388">
        <f t="shared" si="17"/>
        <v>0</v>
      </c>
      <c r="BV16" s="388">
        <f t="shared" si="18"/>
        <v>0</v>
      </c>
      <c r="BW16" s="388">
        <f t="shared" si="19"/>
        <v>0</v>
      </c>
      <c r="BX16" s="388">
        <f t="shared" si="34"/>
        <v>0</v>
      </c>
      <c r="BY16" s="388">
        <f t="shared" si="35"/>
        <v>0</v>
      </c>
      <c r="BZ16" s="388">
        <f t="shared" si="36"/>
        <v>0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0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0</v>
      </c>
      <c r="CI16" s="388">
        <f t="shared" si="26"/>
        <v>0</v>
      </c>
      <c r="CJ16" s="388">
        <f t="shared" si="39"/>
        <v>0</v>
      </c>
      <c r="CK16" s="388" t="str">
        <f t="shared" si="40"/>
        <v/>
      </c>
      <c r="CL16" s="388">
        <f t="shared" si="41"/>
        <v>0</v>
      </c>
      <c r="CM16" s="388">
        <f t="shared" si="42"/>
        <v>0</v>
      </c>
      <c r="CN16" s="388" t="str">
        <f t="shared" si="43"/>
        <v>0229-20</v>
      </c>
    </row>
    <row r="17" spans="1:92" ht="15.75" thickBot="1">
      <c r="A17" s="377" t="s">
        <v>162</v>
      </c>
      <c r="B17" s="377" t="s">
        <v>163</v>
      </c>
      <c r="C17" s="377" t="s">
        <v>270</v>
      </c>
      <c r="D17" s="377" t="s">
        <v>225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226</v>
      </c>
      <c r="L17" s="377" t="s">
        <v>179</v>
      </c>
      <c r="M17" s="377" t="s">
        <v>172</v>
      </c>
      <c r="N17" s="377" t="s">
        <v>173</v>
      </c>
      <c r="O17" s="380">
        <v>1</v>
      </c>
      <c r="P17" s="386">
        <v>1</v>
      </c>
      <c r="Q17" s="386">
        <v>1</v>
      </c>
      <c r="R17" s="381">
        <v>80</v>
      </c>
      <c r="S17" s="386">
        <v>1</v>
      </c>
      <c r="T17" s="381">
        <v>38459.46</v>
      </c>
      <c r="U17" s="381">
        <v>0</v>
      </c>
      <c r="V17" s="381">
        <v>19717.810000000001</v>
      </c>
      <c r="W17" s="381">
        <v>43721.599999999999</v>
      </c>
      <c r="X17" s="381">
        <v>21884.799999999999</v>
      </c>
      <c r="Y17" s="381">
        <v>43721.599999999999</v>
      </c>
      <c r="Z17" s="381">
        <v>22806.9</v>
      </c>
      <c r="AA17" s="377" t="s">
        <v>271</v>
      </c>
      <c r="AB17" s="377" t="s">
        <v>272</v>
      </c>
      <c r="AC17" s="377" t="s">
        <v>273</v>
      </c>
      <c r="AD17" s="377" t="s">
        <v>274</v>
      </c>
      <c r="AE17" s="377" t="s">
        <v>226</v>
      </c>
      <c r="AF17" s="377" t="s">
        <v>204</v>
      </c>
      <c r="AG17" s="377" t="s">
        <v>179</v>
      </c>
      <c r="AH17" s="382">
        <v>21.02</v>
      </c>
      <c r="AI17" s="382">
        <v>26319.7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6">
        <v>1</v>
      </c>
      <c r="AQ17" s="386">
        <v>1</v>
      </c>
      <c r="AR17" s="384" t="s">
        <v>184</v>
      </c>
      <c r="AS17" s="388">
        <f t="shared" si="27"/>
        <v>1</v>
      </c>
      <c r="AT17">
        <f t="shared" si="28"/>
        <v>1</v>
      </c>
      <c r="AU17" s="388">
        <f>IF(AT17=0,"",IF(AND(AT17=1,M17="F",SUMIF(C2:C53,C17,AS2:AS53)&lt;=1),SUMIF(C2:C53,C17,AS2:AS53),IF(AND(AT17=1,M17="F",SUMIF(C2:C53,C17,AS2:AS53)&gt;1),1,"")))</f>
        <v>1</v>
      </c>
      <c r="AV17" s="388" t="str">
        <f>IF(AT17=0,"",IF(AND(AT17=3,M17="F",SUMIF(C2:C53,C17,AS2:AS53)&lt;=1),SUMIF(C2:C53,C17,AS2:AS53),IF(AND(AT17=3,M17="F",SUMIF(C2:C53,C17,AS2:AS53)&gt;1),1,"")))</f>
        <v/>
      </c>
      <c r="AW17" s="388">
        <f>SUMIF(C2:C53,C17,O2:O53)</f>
        <v>1</v>
      </c>
      <c r="AX17" s="388">
        <f>IF(AND(M17="F",AS17&lt;&gt;0),SUMIF(C2:C53,C17,W2:W53),0)</f>
        <v>43721.599999999999</v>
      </c>
      <c r="AY17" s="388">
        <f t="shared" si="29"/>
        <v>43721.599999999999</v>
      </c>
      <c r="AZ17" s="388" t="str">
        <f t="shared" si="30"/>
        <v/>
      </c>
      <c r="BA17" s="388">
        <f t="shared" si="31"/>
        <v>0</v>
      </c>
      <c r="BB17" s="388">
        <f t="shared" si="0"/>
        <v>12500</v>
      </c>
      <c r="BC17" s="388">
        <f t="shared" si="1"/>
        <v>0</v>
      </c>
      <c r="BD17" s="388">
        <f t="shared" si="2"/>
        <v>2710.7392</v>
      </c>
      <c r="BE17" s="388">
        <f t="shared" si="3"/>
        <v>633.96320000000003</v>
      </c>
      <c r="BF17" s="388">
        <f t="shared" si="4"/>
        <v>5220.3590400000003</v>
      </c>
      <c r="BG17" s="388">
        <f t="shared" si="5"/>
        <v>315.23273599999999</v>
      </c>
      <c r="BH17" s="388">
        <f t="shared" si="6"/>
        <v>0</v>
      </c>
      <c r="BI17" s="388">
        <f t="shared" si="7"/>
        <v>241.999056</v>
      </c>
      <c r="BJ17" s="388">
        <f t="shared" si="8"/>
        <v>262.32959999999997</v>
      </c>
      <c r="BK17" s="388">
        <f t="shared" si="9"/>
        <v>0</v>
      </c>
      <c r="BL17" s="388">
        <f t="shared" si="32"/>
        <v>9384.6228320000009</v>
      </c>
      <c r="BM17" s="388">
        <f t="shared" si="33"/>
        <v>0</v>
      </c>
      <c r="BN17" s="388">
        <f t="shared" si="10"/>
        <v>13750</v>
      </c>
      <c r="BO17" s="388">
        <f t="shared" si="11"/>
        <v>0</v>
      </c>
      <c r="BP17" s="388">
        <f t="shared" si="12"/>
        <v>2710.7392</v>
      </c>
      <c r="BQ17" s="388">
        <f t="shared" si="13"/>
        <v>633.96320000000003</v>
      </c>
      <c r="BR17" s="388">
        <f t="shared" si="14"/>
        <v>4888.0748800000001</v>
      </c>
      <c r="BS17" s="388">
        <f t="shared" si="15"/>
        <v>315.23273599999999</v>
      </c>
      <c r="BT17" s="388">
        <f t="shared" si="16"/>
        <v>0</v>
      </c>
      <c r="BU17" s="388">
        <f t="shared" si="17"/>
        <v>241.999056</v>
      </c>
      <c r="BV17" s="388">
        <f t="shared" si="18"/>
        <v>266.70176000000004</v>
      </c>
      <c r="BW17" s="388">
        <f t="shared" si="19"/>
        <v>0</v>
      </c>
      <c r="BX17" s="388">
        <f t="shared" si="34"/>
        <v>9056.7108320000007</v>
      </c>
      <c r="BY17" s="388">
        <f t="shared" si="35"/>
        <v>0</v>
      </c>
      <c r="BZ17" s="388">
        <f t="shared" si="36"/>
        <v>1250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-332.28416000000038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4.3721600000000116</v>
      </c>
      <c r="CI17" s="388">
        <f t="shared" si="26"/>
        <v>0</v>
      </c>
      <c r="CJ17" s="388">
        <f t="shared" si="39"/>
        <v>-327.91200000000038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0229-20</v>
      </c>
    </row>
    <row r="18" spans="1:92" ht="15.75" thickBot="1">
      <c r="A18" s="377" t="s">
        <v>162</v>
      </c>
      <c r="B18" s="377" t="s">
        <v>163</v>
      </c>
      <c r="C18" s="377" t="s">
        <v>275</v>
      </c>
      <c r="D18" s="377" t="s">
        <v>186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187</v>
      </c>
      <c r="L18" s="377" t="s">
        <v>188</v>
      </c>
      <c r="M18" s="377" t="s">
        <v>261</v>
      </c>
      <c r="N18" s="377" t="s">
        <v>173</v>
      </c>
      <c r="O18" s="380">
        <v>0</v>
      </c>
      <c r="P18" s="386">
        <v>1</v>
      </c>
      <c r="Q18" s="386">
        <v>1</v>
      </c>
      <c r="R18" s="381">
        <v>80</v>
      </c>
      <c r="S18" s="386">
        <v>1</v>
      </c>
      <c r="T18" s="381">
        <v>62908.58</v>
      </c>
      <c r="U18" s="381">
        <v>0</v>
      </c>
      <c r="V18" s="381">
        <v>23621.17</v>
      </c>
      <c r="W18" s="381">
        <v>62275.199999999997</v>
      </c>
      <c r="X18" s="381">
        <v>28023.84</v>
      </c>
      <c r="Y18" s="381">
        <v>62275.199999999997</v>
      </c>
      <c r="Z18" s="381">
        <v>29020.240000000002</v>
      </c>
      <c r="AA18" s="379"/>
      <c r="AB18" s="377" t="s">
        <v>45</v>
      </c>
      <c r="AC18" s="377" t="s">
        <v>45</v>
      </c>
      <c r="AD18" s="379"/>
      <c r="AE18" s="379"/>
      <c r="AF18" s="379"/>
      <c r="AG18" s="379"/>
      <c r="AH18" s="380">
        <v>0</v>
      </c>
      <c r="AI18" s="380">
        <v>0</v>
      </c>
      <c r="AJ18" s="379"/>
      <c r="AK18" s="379"/>
      <c r="AL18" s="377" t="s">
        <v>182</v>
      </c>
      <c r="AM18" s="379"/>
      <c r="AN18" s="379"/>
      <c r="AO18" s="380">
        <v>0</v>
      </c>
      <c r="AP18" s="386">
        <v>0</v>
      </c>
      <c r="AQ18" s="386">
        <v>0</v>
      </c>
      <c r="AR18" s="385"/>
      <c r="AS18" s="388">
        <f t="shared" si="27"/>
        <v>0</v>
      </c>
      <c r="AT18">
        <f t="shared" si="28"/>
        <v>0</v>
      </c>
      <c r="AU18" s="388" t="str">
        <f>IF(AT18=0,"",IF(AND(AT18=1,M18="F",SUMIF(C2:C53,C18,AS2:AS53)&lt;=1),SUMIF(C2:C53,C18,AS2:AS53),IF(AND(AT18=1,M18="F",SUMIF(C2:C53,C18,AS2:AS53)&gt;1),1,"")))</f>
        <v/>
      </c>
      <c r="AV18" s="388" t="str">
        <f>IF(AT18=0,"",IF(AND(AT18=3,M18="F",SUMIF(C2:C53,C18,AS2:AS53)&lt;=1),SUMIF(C2:C53,C18,AS2:AS53),IF(AND(AT18=3,M18="F",SUMIF(C2:C53,C18,AS2:AS53)&gt;1),1,"")))</f>
        <v/>
      </c>
      <c r="AW18" s="388">
        <f>SUMIF(C2:C53,C18,O2:O53)</f>
        <v>0</v>
      </c>
      <c r="AX18" s="388">
        <f>IF(AND(M18="F",AS18&lt;&gt;0),SUMIF(C2:C53,C18,W2:W53),0)</f>
        <v>0</v>
      </c>
      <c r="AY18" s="388" t="str">
        <f t="shared" si="29"/>
        <v/>
      </c>
      <c r="AZ18" s="388" t="str">
        <f t="shared" si="30"/>
        <v/>
      </c>
      <c r="BA18" s="388">
        <f t="shared" si="31"/>
        <v>0</v>
      </c>
      <c r="BB18" s="388">
        <f t="shared" si="0"/>
        <v>0</v>
      </c>
      <c r="BC18" s="388">
        <f t="shared" si="1"/>
        <v>0</v>
      </c>
      <c r="BD18" s="388">
        <f t="shared" si="2"/>
        <v>0</v>
      </c>
      <c r="BE18" s="388">
        <f t="shared" si="3"/>
        <v>0</v>
      </c>
      <c r="BF18" s="388">
        <f t="shared" si="4"/>
        <v>0</v>
      </c>
      <c r="BG18" s="388">
        <f t="shared" si="5"/>
        <v>0</v>
      </c>
      <c r="BH18" s="388">
        <f t="shared" si="6"/>
        <v>0</v>
      </c>
      <c r="BI18" s="388">
        <f t="shared" si="7"/>
        <v>0</v>
      </c>
      <c r="BJ18" s="388">
        <f t="shared" si="8"/>
        <v>0</v>
      </c>
      <c r="BK18" s="388">
        <f t="shared" si="9"/>
        <v>0</v>
      </c>
      <c r="BL18" s="388">
        <f t="shared" si="32"/>
        <v>0</v>
      </c>
      <c r="BM18" s="388">
        <f t="shared" si="33"/>
        <v>0</v>
      </c>
      <c r="BN18" s="388">
        <f t="shared" si="10"/>
        <v>0</v>
      </c>
      <c r="BO18" s="388">
        <f t="shared" si="11"/>
        <v>0</v>
      </c>
      <c r="BP18" s="388">
        <f t="shared" si="12"/>
        <v>0</v>
      </c>
      <c r="BQ18" s="388">
        <f t="shared" si="13"/>
        <v>0</v>
      </c>
      <c r="BR18" s="388">
        <f t="shared" si="14"/>
        <v>0</v>
      </c>
      <c r="BS18" s="388">
        <f t="shared" si="15"/>
        <v>0</v>
      </c>
      <c r="BT18" s="388">
        <f t="shared" si="16"/>
        <v>0</v>
      </c>
      <c r="BU18" s="388">
        <f t="shared" si="17"/>
        <v>0</v>
      </c>
      <c r="BV18" s="388">
        <f t="shared" si="18"/>
        <v>0</v>
      </c>
      <c r="BW18" s="388">
        <f t="shared" si="19"/>
        <v>0</v>
      </c>
      <c r="BX18" s="388">
        <f t="shared" si="34"/>
        <v>0</v>
      </c>
      <c r="BY18" s="388">
        <f t="shared" si="35"/>
        <v>0</v>
      </c>
      <c r="BZ18" s="388">
        <f t="shared" si="36"/>
        <v>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0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0</v>
      </c>
      <c r="CI18" s="388">
        <f t="shared" si="26"/>
        <v>0</v>
      </c>
      <c r="CJ18" s="388">
        <f t="shared" si="39"/>
        <v>0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0229-20</v>
      </c>
    </row>
    <row r="19" spans="1:92" ht="15.75" thickBot="1">
      <c r="A19" s="377" t="s">
        <v>162</v>
      </c>
      <c r="B19" s="377" t="s">
        <v>163</v>
      </c>
      <c r="C19" s="377" t="s">
        <v>276</v>
      </c>
      <c r="D19" s="377" t="s">
        <v>277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278</v>
      </c>
      <c r="L19" s="377" t="s">
        <v>188</v>
      </c>
      <c r="M19" s="377" t="s">
        <v>172</v>
      </c>
      <c r="N19" s="377" t="s">
        <v>173</v>
      </c>
      <c r="O19" s="380">
        <v>1</v>
      </c>
      <c r="P19" s="386">
        <v>1</v>
      </c>
      <c r="Q19" s="386">
        <v>1</v>
      </c>
      <c r="R19" s="381">
        <v>80</v>
      </c>
      <c r="S19" s="386">
        <v>1</v>
      </c>
      <c r="T19" s="381">
        <v>73644.75</v>
      </c>
      <c r="U19" s="381">
        <v>0</v>
      </c>
      <c r="V19" s="381">
        <v>27454.68</v>
      </c>
      <c r="W19" s="381">
        <v>79955.199999999997</v>
      </c>
      <c r="X19" s="381">
        <v>29662.37</v>
      </c>
      <c r="Y19" s="381">
        <v>79955.199999999997</v>
      </c>
      <c r="Z19" s="381">
        <v>30312.7</v>
      </c>
      <c r="AA19" s="377" t="s">
        <v>279</v>
      </c>
      <c r="AB19" s="377" t="s">
        <v>280</v>
      </c>
      <c r="AC19" s="377" t="s">
        <v>281</v>
      </c>
      <c r="AD19" s="377" t="s">
        <v>188</v>
      </c>
      <c r="AE19" s="377" t="s">
        <v>278</v>
      </c>
      <c r="AF19" s="377" t="s">
        <v>193</v>
      </c>
      <c r="AG19" s="377" t="s">
        <v>179</v>
      </c>
      <c r="AH19" s="382">
        <v>38.44</v>
      </c>
      <c r="AI19" s="382">
        <v>23591.4</v>
      </c>
      <c r="AJ19" s="377" t="s">
        <v>180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80</v>
      </c>
      <c r="AP19" s="386">
        <v>1</v>
      </c>
      <c r="AQ19" s="386">
        <v>1</v>
      </c>
      <c r="AR19" s="384" t="s">
        <v>184</v>
      </c>
      <c r="AS19" s="388">
        <f t="shared" si="27"/>
        <v>1</v>
      </c>
      <c r="AT19">
        <f t="shared" si="28"/>
        <v>1</v>
      </c>
      <c r="AU19" s="388">
        <f>IF(AT19=0,"",IF(AND(AT19=1,M19="F",SUMIF(C2:C53,C19,AS2:AS53)&lt;=1),SUMIF(C2:C53,C19,AS2:AS53),IF(AND(AT19=1,M19="F",SUMIF(C2:C53,C19,AS2:AS53)&gt;1),1,"")))</f>
        <v>1</v>
      </c>
      <c r="AV19" s="388" t="str">
        <f>IF(AT19=0,"",IF(AND(AT19=3,M19="F",SUMIF(C2:C53,C19,AS2:AS53)&lt;=1),SUMIF(C2:C53,C19,AS2:AS53),IF(AND(AT19=3,M19="F",SUMIF(C2:C53,C19,AS2:AS53)&gt;1),1,"")))</f>
        <v/>
      </c>
      <c r="AW19" s="388">
        <f>SUMIF(C2:C53,C19,O2:O53)</f>
        <v>1</v>
      </c>
      <c r="AX19" s="388">
        <f>IF(AND(M19="F",AS19&lt;&gt;0),SUMIF(C2:C53,C19,W2:W53),0)</f>
        <v>79955.199999999997</v>
      </c>
      <c r="AY19" s="388">
        <f t="shared" si="29"/>
        <v>79955.199999999997</v>
      </c>
      <c r="AZ19" s="388" t="str">
        <f t="shared" si="30"/>
        <v/>
      </c>
      <c r="BA19" s="388">
        <f t="shared" si="31"/>
        <v>0</v>
      </c>
      <c r="BB19" s="388">
        <f t="shared" si="0"/>
        <v>12500</v>
      </c>
      <c r="BC19" s="388">
        <f t="shared" si="1"/>
        <v>0</v>
      </c>
      <c r="BD19" s="388">
        <f t="shared" si="2"/>
        <v>4957.2223999999997</v>
      </c>
      <c r="BE19" s="388">
        <f t="shared" si="3"/>
        <v>1159.3504</v>
      </c>
      <c r="BF19" s="388">
        <f t="shared" si="4"/>
        <v>9546.6508800000011</v>
      </c>
      <c r="BG19" s="388">
        <f t="shared" si="5"/>
        <v>576.476992</v>
      </c>
      <c r="BH19" s="388">
        <f t="shared" si="6"/>
        <v>0</v>
      </c>
      <c r="BI19" s="388">
        <f t="shared" si="7"/>
        <v>442.552032</v>
      </c>
      <c r="BJ19" s="388">
        <f t="shared" si="8"/>
        <v>479.7312</v>
      </c>
      <c r="BK19" s="388">
        <f t="shared" si="9"/>
        <v>0</v>
      </c>
      <c r="BL19" s="388">
        <f t="shared" si="32"/>
        <v>17161.983904000001</v>
      </c>
      <c r="BM19" s="388">
        <f t="shared" si="33"/>
        <v>0</v>
      </c>
      <c r="BN19" s="388">
        <f t="shared" si="10"/>
        <v>13750</v>
      </c>
      <c r="BO19" s="388">
        <f t="shared" si="11"/>
        <v>0</v>
      </c>
      <c r="BP19" s="388">
        <f t="shared" si="12"/>
        <v>4957.2223999999997</v>
      </c>
      <c r="BQ19" s="388">
        <f t="shared" si="13"/>
        <v>1159.3504</v>
      </c>
      <c r="BR19" s="388">
        <f t="shared" si="14"/>
        <v>8938.99136</v>
      </c>
      <c r="BS19" s="388">
        <f t="shared" si="15"/>
        <v>576.476992</v>
      </c>
      <c r="BT19" s="388">
        <f t="shared" si="16"/>
        <v>0</v>
      </c>
      <c r="BU19" s="388">
        <f t="shared" si="17"/>
        <v>442.552032</v>
      </c>
      <c r="BV19" s="388">
        <f t="shared" si="18"/>
        <v>487.72672</v>
      </c>
      <c r="BW19" s="388">
        <f t="shared" si="19"/>
        <v>0</v>
      </c>
      <c r="BX19" s="388">
        <f t="shared" si="34"/>
        <v>16562.319904</v>
      </c>
      <c r="BY19" s="388">
        <f t="shared" si="35"/>
        <v>0</v>
      </c>
      <c r="BZ19" s="388">
        <f t="shared" si="36"/>
        <v>1250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-607.65952000000073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7.9955200000000204</v>
      </c>
      <c r="CI19" s="388">
        <f t="shared" si="26"/>
        <v>0</v>
      </c>
      <c r="CJ19" s="388">
        <f t="shared" si="39"/>
        <v>-599.66400000000067</v>
      </c>
      <c r="CK19" s="388" t="str">
        <f t="shared" si="40"/>
        <v/>
      </c>
      <c r="CL19" s="388" t="str">
        <f t="shared" si="41"/>
        <v/>
      </c>
      <c r="CM19" s="388" t="str">
        <f t="shared" si="42"/>
        <v/>
      </c>
      <c r="CN19" s="388" t="str">
        <f t="shared" si="43"/>
        <v>0229-20</v>
      </c>
    </row>
    <row r="20" spans="1:92" ht="15.75" thickBot="1">
      <c r="A20" s="377" t="s">
        <v>162</v>
      </c>
      <c r="B20" s="377" t="s">
        <v>163</v>
      </c>
      <c r="C20" s="377" t="s">
        <v>282</v>
      </c>
      <c r="D20" s="377" t="s">
        <v>277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278</v>
      </c>
      <c r="L20" s="377" t="s">
        <v>188</v>
      </c>
      <c r="M20" s="377" t="s">
        <v>261</v>
      </c>
      <c r="N20" s="377" t="s">
        <v>173</v>
      </c>
      <c r="O20" s="380">
        <v>0</v>
      </c>
      <c r="P20" s="386">
        <v>1</v>
      </c>
      <c r="Q20" s="386">
        <v>1</v>
      </c>
      <c r="R20" s="381">
        <v>80</v>
      </c>
      <c r="S20" s="386">
        <v>1</v>
      </c>
      <c r="T20" s="381">
        <v>14631.68</v>
      </c>
      <c r="U20" s="381">
        <v>0</v>
      </c>
      <c r="V20" s="381">
        <v>6477.44</v>
      </c>
      <c r="W20" s="381">
        <v>62275.199999999997</v>
      </c>
      <c r="X20" s="381">
        <v>28023.84</v>
      </c>
      <c r="Y20" s="381">
        <v>62275.199999999997</v>
      </c>
      <c r="Z20" s="381">
        <v>29020.240000000002</v>
      </c>
      <c r="AA20" s="379"/>
      <c r="AB20" s="377" t="s">
        <v>45</v>
      </c>
      <c r="AC20" s="377" t="s">
        <v>45</v>
      </c>
      <c r="AD20" s="379"/>
      <c r="AE20" s="379"/>
      <c r="AF20" s="379"/>
      <c r="AG20" s="379"/>
      <c r="AH20" s="380">
        <v>0</v>
      </c>
      <c r="AI20" s="380">
        <v>0</v>
      </c>
      <c r="AJ20" s="379"/>
      <c r="AK20" s="379"/>
      <c r="AL20" s="377" t="s">
        <v>182</v>
      </c>
      <c r="AM20" s="379"/>
      <c r="AN20" s="379"/>
      <c r="AO20" s="380">
        <v>0</v>
      </c>
      <c r="AP20" s="386">
        <v>0</v>
      </c>
      <c r="AQ20" s="386">
        <v>0</v>
      </c>
      <c r="AR20" s="385"/>
      <c r="AS20" s="388">
        <f t="shared" si="27"/>
        <v>0</v>
      </c>
      <c r="AT20">
        <f t="shared" si="28"/>
        <v>0</v>
      </c>
      <c r="AU20" s="388" t="str">
        <f>IF(AT20=0,"",IF(AND(AT20=1,M20="F",SUMIF(C2:C53,C20,AS2:AS53)&lt;=1),SUMIF(C2:C53,C20,AS2:AS53),IF(AND(AT20=1,M20="F",SUMIF(C2:C53,C20,AS2:AS53)&gt;1),1,"")))</f>
        <v/>
      </c>
      <c r="AV20" s="388" t="str">
        <f>IF(AT20=0,"",IF(AND(AT20=3,M20="F",SUMIF(C2:C53,C20,AS2:AS53)&lt;=1),SUMIF(C2:C53,C20,AS2:AS53),IF(AND(AT20=3,M20="F",SUMIF(C2:C53,C20,AS2:AS53)&gt;1),1,"")))</f>
        <v/>
      </c>
      <c r="AW20" s="388">
        <f>SUMIF(C2:C53,C20,O2:O53)</f>
        <v>0</v>
      </c>
      <c r="AX20" s="388">
        <f>IF(AND(M20="F",AS20&lt;&gt;0),SUMIF(C2:C53,C20,W2:W53),0)</f>
        <v>0</v>
      </c>
      <c r="AY20" s="388" t="str">
        <f t="shared" si="29"/>
        <v/>
      </c>
      <c r="AZ20" s="388" t="str">
        <f t="shared" si="30"/>
        <v/>
      </c>
      <c r="BA20" s="388">
        <f t="shared" si="31"/>
        <v>0</v>
      </c>
      <c r="BB20" s="388">
        <f t="shared" si="0"/>
        <v>0</v>
      </c>
      <c r="BC20" s="388">
        <f t="shared" si="1"/>
        <v>0</v>
      </c>
      <c r="BD20" s="388">
        <f t="shared" si="2"/>
        <v>0</v>
      </c>
      <c r="BE20" s="388">
        <f t="shared" si="3"/>
        <v>0</v>
      </c>
      <c r="BF20" s="388">
        <f t="shared" si="4"/>
        <v>0</v>
      </c>
      <c r="BG20" s="388">
        <f t="shared" si="5"/>
        <v>0</v>
      </c>
      <c r="BH20" s="388">
        <f t="shared" si="6"/>
        <v>0</v>
      </c>
      <c r="BI20" s="388">
        <f t="shared" si="7"/>
        <v>0</v>
      </c>
      <c r="BJ20" s="388">
        <f t="shared" si="8"/>
        <v>0</v>
      </c>
      <c r="BK20" s="388">
        <f t="shared" si="9"/>
        <v>0</v>
      </c>
      <c r="BL20" s="388">
        <f t="shared" si="32"/>
        <v>0</v>
      </c>
      <c r="BM20" s="388">
        <f t="shared" si="33"/>
        <v>0</v>
      </c>
      <c r="BN20" s="388">
        <f t="shared" si="10"/>
        <v>0</v>
      </c>
      <c r="BO20" s="388">
        <f t="shared" si="11"/>
        <v>0</v>
      </c>
      <c r="BP20" s="388">
        <f t="shared" si="12"/>
        <v>0</v>
      </c>
      <c r="BQ20" s="388">
        <f t="shared" si="13"/>
        <v>0</v>
      </c>
      <c r="BR20" s="388">
        <f t="shared" si="14"/>
        <v>0</v>
      </c>
      <c r="BS20" s="388">
        <f t="shared" si="15"/>
        <v>0</v>
      </c>
      <c r="BT20" s="388">
        <f t="shared" si="16"/>
        <v>0</v>
      </c>
      <c r="BU20" s="388">
        <f t="shared" si="17"/>
        <v>0</v>
      </c>
      <c r="BV20" s="388">
        <f t="shared" si="18"/>
        <v>0</v>
      </c>
      <c r="BW20" s="388">
        <f t="shared" si="19"/>
        <v>0</v>
      </c>
      <c r="BX20" s="388">
        <f t="shared" si="34"/>
        <v>0</v>
      </c>
      <c r="BY20" s="388">
        <f t="shared" si="35"/>
        <v>0</v>
      </c>
      <c r="BZ20" s="388">
        <f t="shared" si="36"/>
        <v>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0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0</v>
      </c>
      <c r="CI20" s="388">
        <f t="shared" si="26"/>
        <v>0</v>
      </c>
      <c r="CJ20" s="388">
        <f t="shared" si="39"/>
        <v>0</v>
      </c>
      <c r="CK20" s="388" t="str">
        <f t="shared" si="40"/>
        <v/>
      </c>
      <c r="CL20" s="388" t="str">
        <f t="shared" si="41"/>
        <v/>
      </c>
      <c r="CM20" s="388" t="str">
        <f t="shared" si="42"/>
        <v/>
      </c>
      <c r="CN20" s="388" t="str">
        <f t="shared" si="43"/>
        <v>0229-20</v>
      </c>
    </row>
    <row r="21" spans="1:92" ht="15.75" thickBot="1">
      <c r="A21" s="377" t="s">
        <v>162</v>
      </c>
      <c r="B21" s="377" t="s">
        <v>163</v>
      </c>
      <c r="C21" s="377" t="s">
        <v>283</v>
      </c>
      <c r="D21" s="377" t="s">
        <v>186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187</v>
      </c>
      <c r="L21" s="377" t="s">
        <v>188</v>
      </c>
      <c r="M21" s="377" t="s">
        <v>172</v>
      </c>
      <c r="N21" s="377" t="s">
        <v>173</v>
      </c>
      <c r="O21" s="380">
        <v>1</v>
      </c>
      <c r="P21" s="386">
        <v>1</v>
      </c>
      <c r="Q21" s="386">
        <v>1</v>
      </c>
      <c r="R21" s="381">
        <v>80</v>
      </c>
      <c r="S21" s="386">
        <v>1</v>
      </c>
      <c r="T21" s="381">
        <v>3372</v>
      </c>
      <c r="U21" s="381">
        <v>0</v>
      </c>
      <c r="V21" s="381">
        <v>2242.8200000000002</v>
      </c>
      <c r="W21" s="381">
        <v>62400</v>
      </c>
      <c r="X21" s="381">
        <v>25894.15</v>
      </c>
      <c r="Y21" s="381">
        <v>62400</v>
      </c>
      <c r="Z21" s="381">
        <v>26676.15</v>
      </c>
      <c r="AA21" s="377" t="s">
        <v>284</v>
      </c>
      <c r="AB21" s="377" t="s">
        <v>285</v>
      </c>
      <c r="AC21" s="377" t="s">
        <v>286</v>
      </c>
      <c r="AD21" s="377" t="s">
        <v>281</v>
      </c>
      <c r="AE21" s="377" t="s">
        <v>187</v>
      </c>
      <c r="AF21" s="377" t="s">
        <v>193</v>
      </c>
      <c r="AG21" s="377" t="s">
        <v>179</v>
      </c>
      <c r="AH21" s="380">
        <v>30</v>
      </c>
      <c r="AI21" s="382">
        <v>272.39999999999998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6">
        <v>1</v>
      </c>
      <c r="AQ21" s="386">
        <v>1</v>
      </c>
      <c r="AR21" s="384" t="s">
        <v>184</v>
      </c>
      <c r="AS21" s="388">
        <f t="shared" si="27"/>
        <v>1</v>
      </c>
      <c r="AT21">
        <f t="shared" si="28"/>
        <v>1</v>
      </c>
      <c r="AU21" s="388">
        <f>IF(AT21=0,"",IF(AND(AT21=1,M21="F",SUMIF(C2:C53,C21,AS2:AS53)&lt;=1),SUMIF(C2:C53,C21,AS2:AS53),IF(AND(AT21=1,M21="F",SUMIF(C2:C53,C21,AS2:AS53)&gt;1),1,"")))</f>
        <v>1</v>
      </c>
      <c r="AV21" s="388" t="str">
        <f>IF(AT21=0,"",IF(AND(AT21=3,M21="F",SUMIF(C2:C53,C21,AS2:AS53)&lt;=1),SUMIF(C2:C53,C21,AS2:AS53),IF(AND(AT21=3,M21="F",SUMIF(C2:C53,C21,AS2:AS53)&gt;1),1,"")))</f>
        <v/>
      </c>
      <c r="AW21" s="388">
        <f>SUMIF(C2:C53,C21,O2:O53)</f>
        <v>1</v>
      </c>
      <c r="AX21" s="388">
        <f>IF(AND(M21="F",AS21&lt;&gt;0),SUMIF(C2:C53,C21,W2:W53),0)</f>
        <v>62400</v>
      </c>
      <c r="AY21" s="388">
        <f t="shared" si="29"/>
        <v>62400</v>
      </c>
      <c r="AZ21" s="388" t="str">
        <f t="shared" si="30"/>
        <v/>
      </c>
      <c r="BA21" s="388">
        <f t="shared" si="31"/>
        <v>0</v>
      </c>
      <c r="BB21" s="388">
        <f t="shared" si="0"/>
        <v>12500</v>
      </c>
      <c r="BC21" s="388">
        <f t="shared" si="1"/>
        <v>0</v>
      </c>
      <c r="BD21" s="388">
        <f t="shared" si="2"/>
        <v>3868.8</v>
      </c>
      <c r="BE21" s="388">
        <f t="shared" si="3"/>
        <v>904.80000000000007</v>
      </c>
      <c r="BF21" s="388">
        <f t="shared" si="4"/>
        <v>7450.56</v>
      </c>
      <c r="BG21" s="388">
        <f t="shared" si="5"/>
        <v>449.904</v>
      </c>
      <c r="BH21" s="388">
        <f t="shared" si="6"/>
        <v>0</v>
      </c>
      <c r="BI21" s="388">
        <f t="shared" si="7"/>
        <v>345.38400000000001</v>
      </c>
      <c r="BJ21" s="388">
        <f t="shared" si="8"/>
        <v>374.40000000000003</v>
      </c>
      <c r="BK21" s="388">
        <f t="shared" si="9"/>
        <v>0</v>
      </c>
      <c r="BL21" s="388">
        <f t="shared" si="32"/>
        <v>13393.848</v>
      </c>
      <c r="BM21" s="388">
        <f t="shared" si="33"/>
        <v>0</v>
      </c>
      <c r="BN21" s="388">
        <f t="shared" si="10"/>
        <v>13750</v>
      </c>
      <c r="BO21" s="388">
        <f t="shared" si="11"/>
        <v>0</v>
      </c>
      <c r="BP21" s="388">
        <f t="shared" si="12"/>
        <v>3868.8</v>
      </c>
      <c r="BQ21" s="388">
        <f t="shared" si="13"/>
        <v>904.80000000000007</v>
      </c>
      <c r="BR21" s="388">
        <f t="shared" si="14"/>
        <v>6976.32</v>
      </c>
      <c r="BS21" s="388">
        <f t="shared" si="15"/>
        <v>449.904</v>
      </c>
      <c r="BT21" s="388">
        <f t="shared" si="16"/>
        <v>0</v>
      </c>
      <c r="BU21" s="388">
        <f t="shared" si="17"/>
        <v>345.38400000000001</v>
      </c>
      <c r="BV21" s="388">
        <f t="shared" si="18"/>
        <v>380.64000000000004</v>
      </c>
      <c r="BW21" s="388">
        <f t="shared" si="19"/>
        <v>0</v>
      </c>
      <c r="BX21" s="388">
        <f t="shared" si="34"/>
        <v>12925.848</v>
      </c>
      <c r="BY21" s="388">
        <f t="shared" si="35"/>
        <v>0</v>
      </c>
      <c r="BZ21" s="388">
        <f t="shared" si="36"/>
        <v>1250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-474.24000000000058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6.2400000000000162</v>
      </c>
      <c r="CI21" s="388">
        <f t="shared" si="26"/>
        <v>0</v>
      </c>
      <c r="CJ21" s="388">
        <f t="shared" si="39"/>
        <v>-468.00000000000057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0229-20</v>
      </c>
    </row>
    <row r="22" spans="1:92" ht="15.75" thickBot="1">
      <c r="A22" s="377" t="s">
        <v>162</v>
      </c>
      <c r="B22" s="377" t="s">
        <v>163</v>
      </c>
      <c r="C22" s="377" t="s">
        <v>287</v>
      </c>
      <c r="D22" s="377" t="s">
        <v>277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278</v>
      </c>
      <c r="L22" s="377" t="s">
        <v>188</v>
      </c>
      <c r="M22" s="377" t="s">
        <v>261</v>
      </c>
      <c r="N22" s="377" t="s">
        <v>173</v>
      </c>
      <c r="O22" s="380">
        <v>0</v>
      </c>
      <c r="P22" s="386">
        <v>1</v>
      </c>
      <c r="Q22" s="386">
        <v>1</v>
      </c>
      <c r="R22" s="381">
        <v>80</v>
      </c>
      <c r="S22" s="386">
        <v>1</v>
      </c>
      <c r="T22" s="381">
        <v>15215.99</v>
      </c>
      <c r="U22" s="381">
        <v>0</v>
      </c>
      <c r="V22" s="381">
        <v>6092.39</v>
      </c>
      <c r="W22" s="381">
        <v>62275.199999999997</v>
      </c>
      <c r="X22" s="381">
        <v>28023.84</v>
      </c>
      <c r="Y22" s="381">
        <v>62275.199999999997</v>
      </c>
      <c r="Z22" s="381">
        <v>29020.240000000002</v>
      </c>
      <c r="AA22" s="379"/>
      <c r="AB22" s="377" t="s">
        <v>45</v>
      </c>
      <c r="AC22" s="377" t="s">
        <v>45</v>
      </c>
      <c r="AD22" s="379"/>
      <c r="AE22" s="379"/>
      <c r="AF22" s="379"/>
      <c r="AG22" s="379"/>
      <c r="AH22" s="380">
        <v>0</v>
      </c>
      <c r="AI22" s="380">
        <v>0</v>
      </c>
      <c r="AJ22" s="379"/>
      <c r="AK22" s="379"/>
      <c r="AL22" s="377" t="s">
        <v>182</v>
      </c>
      <c r="AM22" s="379"/>
      <c r="AN22" s="379"/>
      <c r="AO22" s="380">
        <v>0</v>
      </c>
      <c r="AP22" s="386">
        <v>0</v>
      </c>
      <c r="AQ22" s="386">
        <v>0</v>
      </c>
      <c r="AR22" s="385"/>
      <c r="AS22" s="388">
        <f t="shared" si="27"/>
        <v>0</v>
      </c>
      <c r="AT22">
        <f t="shared" si="28"/>
        <v>0</v>
      </c>
      <c r="AU22" s="388" t="str">
        <f>IF(AT22=0,"",IF(AND(AT22=1,M22="F",SUMIF(C2:C53,C22,AS2:AS53)&lt;=1),SUMIF(C2:C53,C22,AS2:AS53),IF(AND(AT22=1,M22="F",SUMIF(C2:C53,C22,AS2:AS53)&gt;1),1,"")))</f>
        <v/>
      </c>
      <c r="AV22" s="388" t="str">
        <f>IF(AT22=0,"",IF(AND(AT22=3,M22="F",SUMIF(C2:C53,C22,AS2:AS53)&lt;=1),SUMIF(C2:C53,C22,AS2:AS53),IF(AND(AT22=3,M22="F",SUMIF(C2:C53,C22,AS2:AS53)&gt;1),1,"")))</f>
        <v/>
      </c>
      <c r="AW22" s="388">
        <f>SUMIF(C2:C53,C22,O2:O53)</f>
        <v>0</v>
      </c>
      <c r="AX22" s="388">
        <f>IF(AND(M22="F",AS22&lt;&gt;0),SUMIF(C2:C53,C22,W2:W53),0)</f>
        <v>0</v>
      </c>
      <c r="AY22" s="388" t="str">
        <f t="shared" si="29"/>
        <v/>
      </c>
      <c r="AZ22" s="388" t="str">
        <f t="shared" si="30"/>
        <v/>
      </c>
      <c r="BA22" s="388">
        <f t="shared" si="31"/>
        <v>0</v>
      </c>
      <c r="BB22" s="388">
        <f t="shared" si="0"/>
        <v>0</v>
      </c>
      <c r="BC22" s="388">
        <f t="shared" si="1"/>
        <v>0</v>
      </c>
      <c r="BD22" s="388">
        <f t="shared" si="2"/>
        <v>0</v>
      </c>
      <c r="BE22" s="388">
        <f t="shared" si="3"/>
        <v>0</v>
      </c>
      <c r="BF22" s="388">
        <f t="shared" si="4"/>
        <v>0</v>
      </c>
      <c r="BG22" s="388">
        <f t="shared" si="5"/>
        <v>0</v>
      </c>
      <c r="BH22" s="388">
        <f t="shared" si="6"/>
        <v>0</v>
      </c>
      <c r="BI22" s="388">
        <f t="shared" si="7"/>
        <v>0</v>
      </c>
      <c r="BJ22" s="388">
        <f t="shared" si="8"/>
        <v>0</v>
      </c>
      <c r="BK22" s="388">
        <f t="shared" si="9"/>
        <v>0</v>
      </c>
      <c r="BL22" s="388">
        <f t="shared" si="32"/>
        <v>0</v>
      </c>
      <c r="BM22" s="388">
        <f t="shared" si="33"/>
        <v>0</v>
      </c>
      <c r="BN22" s="388">
        <f t="shared" si="10"/>
        <v>0</v>
      </c>
      <c r="BO22" s="388">
        <f t="shared" si="11"/>
        <v>0</v>
      </c>
      <c r="BP22" s="388">
        <f t="shared" si="12"/>
        <v>0</v>
      </c>
      <c r="BQ22" s="388">
        <f t="shared" si="13"/>
        <v>0</v>
      </c>
      <c r="BR22" s="388">
        <f t="shared" si="14"/>
        <v>0</v>
      </c>
      <c r="BS22" s="388">
        <f t="shared" si="15"/>
        <v>0</v>
      </c>
      <c r="BT22" s="388">
        <f t="shared" si="16"/>
        <v>0</v>
      </c>
      <c r="BU22" s="388">
        <f t="shared" si="17"/>
        <v>0</v>
      </c>
      <c r="BV22" s="388">
        <f t="shared" si="18"/>
        <v>0</v>
      </c>
      <c r="BW22" s="388">
        <f t="shared" si="19"/>
        <v>0</v>
      </c>
      <c r="BX22" s="388">
        <f t="shared" si="34"/>
        <v>0</v>
      </c>
      <c r="BY22" s="388">
        <f t="shared" si="35"/>
        <v>0</v>
      </c>
      <c r="BZ22" s="388">
        <f t="shared" si="36"/>
        <v>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0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0</v>
      </c>
      <c r="CI22" s="388">
        <f t="shared" si="26"/>
        <v>0</v>
      </c>
      <c r="CJ22" s="388">
        <f t="shared" si="39"/>
        <v>0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0229-20</v>
      </c>
    </row>
    <row r="23" spans="1:92" ht="15.75" thickBot="1">
      <c r="A23" s="377" t="s">
        <v>162</v>
      </c>
      <c r="B23" s="377" t="s">
        <v>163</v>
      </c>
      <c r="C23" s="377" t="s">
        <v>288</v>
      </c>
      <c r="D23" s="377" t="s">
        <v>263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264</v>
      </c>
      <c r="L23" s="377" t="s">
        <v>182</v>
      </c>
      <c r="M23" s="377" t="s">
        <v>172</v>
      </c>
      <c r="N23" s="377" t="s">
        <v>173</v>
      </c>
      <c r="O23" s="380">
        <v>1</v>
      </c>
      <c r="P23" s="386">
        <v>1</v>
      </c>
      <c r="Q23" s="386">
        <v>1</v>
      </c>
      <c r="R23" s="381">
        <v>80</v>
      </c>
      <c r="S23" s="386">
        <v>1</v>
      </c>
      <c r="T23" s="381">
        <v>88854.94</v>
      </c>
      <c r="U23" s="381">
        <v>0</v>
      </c>
      <c r="V23" s="381">
        <v>30595.65</v>
      </c>
      <c r="W23" s="381">
        <v>83740.800000000003</v>
      </c>
      <c r="X23" s="381">
        <v>30474.94</v>
      </c>
      <c r="Y23" s="381">
        <v>83740.800000000003</v>
      </c>
      <c r="Z23" s="381">
        <v>31096.880000000001</v>
      </c>
      <c r="AA23" s="377" t="s">
        <v>289</v>
      </c>
      <c r="AB23" s="377" t="s">
        <v>290</v>
      </c>
      <c r="AC23" s="377" t="s">
        <v>291</v>
      </c>
      <c r="AD23" s="377" t="s">
        <v>292</v>
      </c>
      <c r="AE23" s="377" t="s">
        <v>264</v>
      </c>
      <c r="AF23" s="377" t="s">
        <v>268</v>
      </c>
      <c r="AG23" s="377" t="s">
        <v>179</v>
      </c>
      <c r="AH23" s="382">
        <v>40.26</v>
      </c>
      <c r="AI23" s="382">
        <v>38894.5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6">
        <v>1</v>
      </c>
      <c r="AQ23" s="386">
        <v>1</v>
      </c>
      <c r="AR23" s="384" t="s">
        <v>184</v>
      </c>
      <c r="AS23" s="388">
        <f t="shared" si="27"/>
        <v>1</v>
      </c>
      <c r="AT23">
        <f t="shared" si="28"/>
        <v>1</v>
      </c>
      <c r="AU23" s="388">
        <f>IF(AT23=0,"",IF(AND(AT23=1,M23="F",SUMIF(C2:C53,C23,AS2:AS53)&lt;=1),SUMIF(C2:C53,C23,AS2:AS53),IF(AND(AT23=1,M23="F",SUMIF(C2:C53,C23,AS2:AS53)&gt;1),1,"")))</f>
        <v>1</v>
      </c>
      <c r="AV23" s="388" t="str">
        <f>IF(AT23=0,"",IF(AND(AT23=3,M23="F",SUMIF(C2:C53,C23,AS2:AS53)&lt;=1),SUMIF(C2:C53,C23,AS2:AS53),IF(AND(AT23=3,M23="F",SUMIF(C2:C53,C23,AS2:AS53)&gt;1),1,"")))</f>
        <v/>
      </c>
      <c r="AW23" s="388">
        <f>SUMIF(C2:C53,C23,O2:O53)</f>
        <v>1</v>
      </c>
      <c r="AX23" s="388">
        <f>IF(AND(M23="F",AS23&lt;&gt;0),SUMIF(C2:C53,C23,W2:W53),0)</f>
        <v>83740.800000000003</v>
      </c>
      <c r="AY23" s="388">
        <f t="shared" si="29"/>
        <v>83740.800000000003</v>
      </c>
      <c r="AZ23" s="388" t="str">
        <f t="shared" si="30"/>
        <v/>
      </c>
      <c r="BA23" s="388">
        <f t="shared" si="31"/>
        <v>0</v>
      </c>
      <c r="BB23" s="388">
        <f t="shared" si="0"/>
        <v>12500</v>
      </c>
      <c r="BC23" s="388">
        <f t="shared" si="1"/>
        <v>0</v>
      </c>
      <c r="BD23" s="388">
        <f t="shared" si="2"/>
        <v>5191.9296000000004</v>
      </c>
      <c r="BE23" s="388">
        <f t="shared" si="3"/>
        <v>1214.2416000000001</v>
      </c>
      <c r="BF23" s="388">
        <f t="shared" si="4"/>
        <v>9998.6515200000013</v>
      </c>
      <c r="BG23" s="388">
        <f t="shared" si="5"/>
        <v>603.77116799999999</v>
      </c>
      <c r="BH23" s="388">
        <f t="shared" si="6"/>
        <v>0</v>
      </c>
      <c r="BI23" s="388">
        <f t="shared" si="7"/>
        <v>463.50532800000002</v>
      </c>
      <c r="BJ23" s="388">
        <f t="shared" si="8"/>
        <v>502.44480000000004</v>
      </c>
      <c r="BK23" s="388">
        <f t="shared" si="9"/>
        <v>0</v>
      </c>
      <c r="BL23" s="388">
        <f t="shared" si="32"/>
        <v>17974.544016000003</v>
      </c>
      <c r="BM23" s="388">
        <f t="shared" si="33"/>
        <v>0</v>
      </c>
      <c r="BN23" s="388">
        <f t="shared" si="10"/>
        <v>13750</v>
      </c>
      <c r="BO23" s="388">
        <f t="shared" si="11"/>
        <v>0</v>
      </c>
      <c r="BP23" s="388">
        <f t="shared" si="12"/>
        <v>5191.9296000000004</v>
      </c>
      <c r="BQ23" s="388">
        <f t="shared" si="13"/>
        <v>1214.2416000000001</v>
      </c>
      <c r="BR23" s="388">
        <f t="shared" si="14"/>
        <v>9362.2214399999993</v>
      </c>
      <c r="BS23" s="388">
        <f t="shared" si="15"/>
        <v>603.77116799999999</v>
      </c>
      <c r="BT23" s="388">
        <f t="shared" si="16"/>
        <v>0</v>
      </c>
      <c r="BU23" s="388">
        <f t="shared" si="17"/>
        <v>463.50532800000002</v>
      </c>
      <c r="BV23" s="388">
        <f t="shared" si="18"/>
        <v>510.81888000000004</v>
      </c>
      <c r="BW23" s="388">
        <f t="shared" si="19"/>
        <v>0</v>
      </c>
      <c r="BX23" s="388">
        <f t="shared" si="34"/>
        <v>17346.488015999999</v>
      </c>
      <c r="BY23" s="388">
        <f t="shared" si="35"/>
        <v>0</v>
      </c>
      <c r="BZ23" s="388">
        <f t="shared" si="36"/>
        <v>1250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-636.43008000000077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8.3740800000000224</v>
      </c>
      <c r="CI23" s="388">
        <f t="shared" si="26"/>
        <v>0</v>
      </c>
      <c r="CJ23" s="388">
        <f t="shared" si="39"/>
        <v>-628.05600000000072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0229-20</v>
      </c>
    </row>
    <row r="24" spans="1:92" ht="15.75" thickBot="1">
      <c r="A24" s="377" t="s">
        <v>162</v>
      </c>
      <c r="B24" s="377" t="s">
        <v>163</v>
      </c>
      <c r="C24" s="377" t="s">
        <v>293</v>
      </c>
      <c r="D24" s="377" t="s">
        <v>186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187</v>
      </c>
      <c r="L24" s="377" t="s">
        <v>188</v>
      </c>
      <c r="M24" s="377" t="s">
        <v>261</v>
      </c>
      <c r="N24" s="377" t="s">
        <v>173</v>
      </c>
      <c r="O24" s="380">
        <v>0</v>
      </c>
      <c r="P24" s="386">
        <v>1</v>
      </c>
      <c r="Q24" s="386">
        <v>1</v>
      </c>
      <c r="R24" s="381">
        <v>80</v>
      </c>
      <c r="S24" s="386">
        <v>1</v>
      </c>
      <c r="T24" s="381">
        <v>46563.89</v>
      </c>
      <c r="U24" s="381">
        <v>0</v>
      </c>
      <c r="V24" s="381">
        <v>19197.240000000002</v>
      </c>
      <c r="W24" s="381">
        <v>62275.199999999997</v>
      </c>
      <c r="X24" s="381">
        <v>28023.84</v>
      </c>
      <c r="Y24" s="381">
        <v>62275.199999999997</v>
      </c>
      <c r="Z24" s="381">
        <v>29020.240000000002</v>
      </c>
      <c r="AA24" s="379"/>
      <c r="AB24" s="377" t="s">
        <v>45</v>
      </c>
      <c r="AC24" s="377" t="s">
        <v>45</v>
      </c>
      <c r="AD24" s="379"/>
      <c r="AE24" s="379"/>
      <c r="AF24" s="379"/>
      <c r="AG24" s="379"/>
      <c r="AH24" s="380">
        <v>0</v>
      </c>
      <c r="AI24" s="380">
        <v>0</v>
      </c>
      <c r="AJ24" s="379"/>
      <c r="AK24" s="379"/>
      <c r="AL24" s="377" t="s">
        <v>182</v>
      </c>
      <c r="AM24" s="379"/>
      <c r="AN24" s="379"/>
      <c r="AO24" s="380">
        <v>0</v>
      </c>
      <c r="AP24" s="386">
        <v>0</v>
      </c>
      <c r="AQ24" s="386">
        <v>0</v>
      </c>
      <c r="AR24" s="385"/>
      <c r="AS24" s="388">
        <f t="shared" si="27"/>
        <v>0</v>
      </c>
      <c r="AT24">
        <f t="shared" si="28"/>
        <v>0</v>
      </c>
      <c r="AU24" s="388" t="str">
        <f>IF(AT24=0,"",IF(AND(AT24=1,M24="F",SUMIF(C2:C53,C24,AS2:AS53)&lt;=1),SUMIF(C2:C53,C24,AS2:AS53),IF(AND(AT24=1,M24="F",SUMIF(C2:C53,C24,AS2:AS53)&gt;1),1,"")))</f>
        <v/>
      </c>
      <c r="AV24" s="388" t="str">
        <f>IF(AT24=0,"",IF(AND(AT24=3,M24="F",SUMIF(C2:C53,C24,AS2:AS53)&lt;=1),SUMIF(C2:C53,C24,AS2:AS53),IF(AND(AT24=3,M24="F",SUMIF(C2:C53,C24,AS2:AS53)&gt;1),1,"")))</f>
        <v/>
      </c>
      <c r="AW24" s="388">
        <f>SUMIF(C2:C53,C24,O2:O53)</f>
        <v>0</v>
      </c>
      <c r="AX24" s="388">
        <f>IF(AND(M24="F",AS24&lt;&gt;0),SUMIF(C2:C53,C24,W2:W53),0)</f>
        <v>0</v>
      </c>
      <c r="AY24" s="388" t="str">
        <f t="shared" si="29"/>
        <v/>
      </c>
      <c r="AZ24" s="388" t="str">
        <f t="shared" si="30"/>
        <v/>
      </c>
      <c r="BA24" s="388">
        <f t="shared" si="31"/>
        <v>0</v>
      </c>
      <c r="BB24" s="388">
        <f t="shared" si="0"/>
        <v>0</v>
      </c>
      <c r="BC24" s="388">
        <f t="shared" si="1"/>
        <v>0</v>
      </c>
      <c r="BD24" s="388">
        <f t="shared" si="2"/>
        <v>0</v>
      </c>
      <c r="BE24" s="388">
        <f t="shared" si="3"/>
        <v>0</v>
      </c>
      <c r="BF24" s="388">
        <f t="shared" si="4"/>
        <v>0</v>
      </c>
      <c r="BG24" s="388">
        <f t="shared" si="5"/>
        <v>0</v>
      </c>
      <c r="BH24" s="388">
        <f t="shared" si="6"/>
        <v>0</v>
      </c>
      <c r="BI24" s="388">
        <f t="shared" si="7"/>
        <v>0</v>
      </c>
      <c r="BJ24" s="388">
        <f t="shared" si="8"/>
        <v>0</v>
      </c>
      <c r="BK24" s="388">
        <f t="shared" si="9"/>
        <v>0</v>
      </c>
      <c r="BL24" s="388">
        <f t="shared" si="32"/>
        <v>0</v>
      </c>
      <c r="BM24" s="388">
        <f t="shared" si="33"/>
        <v>0</v>
      </c>
      <c r="BN24" s="388">
        <f t="shared" si="10"/>
        <v>0</v>
      </c>
      <c r="BO24" s="388">
        <f t="shared" si="11"/>
        <v>0</v>
      </c>
      <c r="BP24" s="388">
        <f t="shared" si="12"/>
        <v>0</v>
      </c>
      <c r="BQ24" s="388">
        <f t="shared" si="13"/>
        <v>0</v>
      </c>
      <c r="BR24" s="388">
        <f t="shared" si="14"/>
        <v>0</v>
      </c>
      <c r="BS24" s="388">
        <f t="shared" si="15"/>
        <v>0</v>
      </c>
      <c r="BT24" s="388">
        <f t="shared" si="16"/>
        <v>0</v>
      </c>
      <c r="BU24" s="388">
        <f t="shared" si="17"/>
        <v>0</v>
      </c>
      <c r="BV24" s="388">
        <f t="shared" si="18"/>
        <v>0</v>
      </c>
      <c r="BW24" s="388">
        <f t="shared" si="19"/>
        <v>0</v>
      </c>
      <c r="BX24" s="388">
        <f t="shared" si="34"/>
        <v>0</v>
      </c>
      <c r="BY24" s="388">
        <f t="shared" si="35"/>
        <v>0</v>
      </c>
      <c r="BZ24" s="388">
        <f t="shared" si="36"/>
        <v>0</v>
      </c>
      <c r="CA24" s="388">
        <f t="shared" si="37"/>
        <v>0</v>
      </c>
      <c r="CB24" s="388">
        <f t="shared" si="38"/>
        <v>0</v>
      </c>
      <c r="CC24" s="388">
        <f t="shared" si="20"/>
        <v>0</v>
      </c>
      <c r="CD24" s="388">
        <f t="shared" si="21"/>
        <v>0</v>
      </c>
      <c r="CE24" s="388">
        <f t="shared" si="22"/>
        <v>0</v>
      </c>
      <c r="CF24" s="388">
        <f t="shared" si="23"/>
        <v>0</v>
      </c>
      <c r="CG24" s="388">
        <f t="shared" si="24"/>
        <v>0</v>
      </c>
      <c r="CH24" s="388">
        <f t="shared" si="25"/>
        <v>0</v>
      </c>
      <c r="CI24" s="388">
        <f t="shared" si="26"/>
        <v>0</v>
      </c>
      <c r="CJ24" s="388">
        <f t="shared" si="39"/>
        <v>0</v>
      </c>
      <c r="CK24" s="388" t="str">
        <f t="shared" si="40"/>
        <v/>
      </c>
      <c r="CL24" s="388" t="str">
        <f t="shared" si="41"/>
        <v/>
      </c>
      <c r="CM24" s="388" t="str">
        <f t="shared" si="42"/>
        <v/>
      </c>
      <c r="CN24" s="388" t="str">
        <f t="shared" si="43"/>
        <v>0229-20</v>
      </c>
    </row>
    <row r="25" spans="1:92" ht="15.75" thickBot="1">
      <c r="A25" s="377" t="s">
        <v>162</v>
      </c>
      <c r="B25" s="377" t="s">
        <v>163</v>
      </c>
      <c r="C25" s="377" t="s">
        <v>294</v>
      </c>
      <c r="D25" s="377" t="s">
        <v>295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296</v>
      </c>
      <c r="L25" s="377" t="s">
        <v>249</v>
      </c>
      <c r="M25" s="377" t="s">
        <v>172</v>
      </c>
      <c r="N25" s="377" t="s">
        <v>254</v>
      </c>
      <c r="O25" s="380">
        <v>1</v>
      </c>
      <c r="P25" s="386">
        <v>1</v>
      </c>
      <c r="Q25" s="386">
        <v>1</v>
      </c>
      <c r="R25" s="381">
        <v>80</v>
      </c>
      <c r="S25" s="386">
        <v>1</v>
      </c>
      <c r="T25" s="381">
        <v>148325.6</v>
      </c>
      <c r="U25" s="381">
        <v>0</v>
      </c>
      <c r="V25" s="381">
        <v>42701.22</v>
      </c>
      <c r="W25" s="381">
        <v>148449.60000000001</v>
      </c>
      <c r="X25" s="381">
        <v>43192</v>
      </c>
      <c r="Y25" s="381">
        <v>148449.60000000001</v>
      </c>
      <c r="Z25" s="381">
        <v>43589.03</v>
      </c>
      <c r="AA25" s="377" t="s">
        <v>297</v>
      </c>
      <c r="AB25" s="377" t="s">
        <v>298</v>
      </c>
      <c r="AC25" s="377" t="s">
        <v>299</v>
      </c>
      <c r="AD25" s="377" t="s">
        <v>300</v>
      </c>
      <c r="AE25" s="377" t="s">
        <v>296</v>
      </c>
      <c r="AF25" s="377" t="s">
        <v>259</v>
      </c>
      <c r="AG25" s="377" t="s">
        <v>179</v>
      </c>
      <c r="AH25" s="382">
        <v>71.37</v>
      </c>
      <c r="AI25" s="382">
        <v>87765.5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6">
        <v>1</v>
      </c>
      <c r="AQ25" s="386">
        <v>1</v>
      </c>
      <c r="AR25" s="384" t="s">
        <v>184</v>
      </c>
      <c r="AS25" s="388">
        <f t="shared" si="27"/>
        <v>1</v>
      </c>
      <c r="AT25">
        <f t="shared" si="28"/>
        <v>1</v>
      </c>
      <c r="AU25" s="388">
        <f>IF(AT25=0,"",IF(AND(AT25=1,M25="F",SUMIF(C2:C53,C25,AS2:AS53)&lt;=1),SUMIF(C2:C53,C25,AS2:AS53),IF(AND(AT25=1,M25="F",SUMIF(C2:C53,C25,AS2:AS53)&gt;1),1,"")))</f>
        <v>1</v>
      </c>
      <c r="AV25" s="388" t="str">
        <f>IF(AT25=0,"",IF(AND(AT25=3,M25="F",SUMIF(C2:C53,C25,AS2:AS53)&lt;=1),SUMIF(C2:C53,C25,AS2:AS53),IF(AND(AT25=3,M25="F",SUMIF(C2:C53,C25,AS2:AS53)&gt;1),1,"")))</f>
        <v/>
      </c>
      <c r="AW25" s="388">
        <f>SUMIF(C2:C53,C25,O2:O53)</f>
        <v>1</v>
      </c>
      <c r="AX25" s="388">
        <f>IF(AND(M25="F",AS25&lt;&gt;0),SUMIF(C2:C53,C25,W2:W53),0)</f>
        <v>148449.60000000001</v>
      </c>
      <c r="AY25" s="388">
        <f t="shared" si="29"/>
        <v>148449.60000000001</v>
      </c>
      <c r="AZ25" s="388" t="str">
        <f t="shared" si="30"/>
        <v/>
      </c>
      <c r="BA25" s="388">
        <f t="shared" si="31"/>
        <v>0</v>
      </c>
      <c r="BB25" s="388">
        <f t="shared" si="0"/>
        <v>12500</v>
      </c>
      <c r="BC25" s="388">
        <f t="shared" si="1"/>
        <v>0</v>
      </c>
      <c r="BD25" s="388">
        <f t="shared" si="2"/>
        <v>8853.6</v>
      </c>
      <c r="BE25" s="388">
        <f t="shared" si="3"/>
        <v>2152.5192000000002</v>
      </c>
      <c r="BF25" s="388">
        <f t="shared" si="4"/>
        <v>17724.882240000003</v>
      </c>
      <c r="BG25" s="388">
        <f t="shared" si="5"/>
        <v>1070.3216160000002</v>
      </c>
      <c r="BH25" s="388">
        <f t="shared" si="6"/>
        <v>0</v>
      </c>
      <c r="BI25" s="388">
        <f t="shared" si="7"/>
        <v>0</v>
      </c>
      <c r="BJ25" s="388">
        <f t="shared" si="8"/>
        <v>890.69760000000008</v>
      </c>
      <c r="BK25" s="388">
        <f t="shared" si="9"/>
        <v>0</v>
      </c>
      <c r="BL25" s="388">
        <f t="shared" si="32"/>
        <v>30692.020656000004</v>
      </c>
      <c r="BM25" s="388">
        <f t="shared" si="33"/>
        <v>0</v>
      </c>
      <c r="BN25" s="388">
        <f t="shared" si="10"/>
        <v>13750</v>
      </c>
      <c r="BO25" s="388">
        <f t="shared" si="11"/>
        <v>0</v>
      </c>
      <c r="BP25" s="388">
        <f t="shared" si="12"/>
        <v>9114</v>
      </c>
      <c r="BQ25" s="388">
        <f t="shared" si="13"/>
        <v>2152.5192000000002</v>
      </c>
      <c r="BR25" s="388">
        <f t="shared" si="14"/>
        <v>16596.665280000001</v>
      </c>
      <c r="BS25" s="388">
        <f t="shared" si="15"/>
        <v>1070.3216160000002</v>
      </c>
      <c r="BT25" s="388">
        <f t="shared" si="16"/>
        <v>0</v>
      </c>
      <c r="BU25" s="388">
        <f t="shared" si="17"/>
        <v>0</v>
      </c>
      <c r="BV25" s="388">
        <f t="shared" si="18"/>
        <v>905.54256000000009</v>
      </c>
      <c r="BW25" s="388">
        <f t="shared" si="19"/>
        <v>0</v>
      </c>
      <c r="BX25" s="388">
        <f t="shared" si="34"/>
        <v>29839.048656000006</v>
      </c>
      <c r="BY25" s="388">
        <f t="shared" si="35"/>
        <v>0</v>
      </c>
      <c r="BZ25" s="388">
        <f t="shared" si="36"/>
        <v>1250</v>
      </c>
      <c r="CA25" s="388">
        <f t="shared" si="37"/>
        <v>0</v>
      </c>
      <c r="CB25" s="388">
        <f t="shared" si="38"/>
        <v>260.39999999999964</v>
      </c>
      <c r="CC25" s="388">
        <f t="shared" si="20"/>
        <v>0</v>
      </c>
      <c r="CD25" s="388">
        <f t="shared" si="21"/>
        <v>-1128.2169600000016</v>
      </c>
      <c r="CE25" s="388">
        <f t="shared" si="22"/>
        <v>0</v>
      </c>
      <c r="CF25" s="388">
        <f t="shared" si="23"/>
        <v>0</v>
      </c>
      <c r="CG25" s="388">
        <f t="shared" si="24"/>
        <v>0</v>
      </c>
      <c r="CH25" s="388">
        <f t="shared" si="25"/>
        <v>14.844960000000039</v>
      </c>
      <c r="CI25" s="388">
        <f t="shared" si="26"/>
        <v>0</v>
      </c>
      <c r="CJ25" s="388">
        <f t="shared" si="39"/>
        <v>-852.97200000000191</v>
      </c>
      <c r="CK25" s="388" t="str">
        <f t="shared" si="40"/>
        <v/>
      </c>
      <c r="CL25" s="388" t="str">
        <f t="shared" si="41"/>
        <v/>
      </c>
      <c r="CM25" s="388" t="str">
        <f t="shared" si="42"/>
        <v/>
      </c>
      <c r="CN25" s="388" t="str">
        <f t="shared" si="43"/>
        <v>0229-20</v>
      </c>
    </row>
    <row r="26" spans="1:92" ht="15.75" thickBot="1">
      <c r="A26" s="377" t="s">
        <v>162</v>
      </c>
      <c r="B26" s="377" t="s">
        <v>163</v>
      </c>
      <c r="C26" s="377" t="s">
        <v>301</v>
      </c>
      <c r="D26" s="377" t="s">
        <v>277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278</v>
      </c>
      <c r="L26" s="377" t="s">
        <v>188</v>
      </c>
      <c r="M26" s="377" t="s">
        <v>261</v>
      </c>
      <c r="N26" s="377" t="s">
        <v>173</v>
      </c>
      <c r="O26" s="380">
        <v>0</v>
      </c>
      <c r="P26" s="386">
        <v>1</v>
      </c>
      <c r="Q26" s="386">
        <v>1</v>
      </c>
      <c r="R26" s="381">
        <v>80</v>
      </c>
      <c r="S26" s="386">
        <v>1</v>
      </c>
      <c r="T26" s="381">
        <v>22096.81</v>
      </c>
      <c r="U26" s="381">
        <v>0</v>
      </c>
      <c r="V26" s="381">
        <v>9667.2099999999991</v>
      </c>
      <c r="W26" s="381">
        <v>62275.199999999997</v>
      </c>
      <c r="X26" s="381">
        <v>28023.84</v>
      </c>
      <c r="Y26" s="381">
        <v>62275.199999999997</v>
      </c>
      <c r="Z26" s="381">
        <v>29020.240000000002</v>
      </c>
      <c r="AA26" s="379"/>
      <c r="AB26" s="377" t="s">
        <v>45</v>
      </c>
      <c r="AC26" s="377" t="s">
        <v>45</v>
      </c>
      <c r="AD26" s="379"/>
      <c r="AE26" s="379"/>
      <c r="AF26" s="379"/>
      <c r="AG26" s="379"/>
      <c r="AH26" s="380">
        <v>0</v>
      </c>
      <c r="AI26" s="380">
        <v>0</v>
      </c>
      <c r="AJ26" s="379"/>
      <c r="AK26" s="379"/>
      <c r="AL26" s="377" t="s">
        <v>182</v>
      </c>
      <c r="AM26" s="379"/>
      <c r="AN26" s="379"/>
      <c r="AO26" s="380">
        <v>0</v>
      </c>
      <c r="AP26" s="386">
        <v>0</v>
      </c>
      <c r="AQ26" s="386">
        <v>0</v>
      </c>
      <c r="AR26" s="385"/>
      <c r="AS26" s="388">
        <f t="shared" si="27"/>
        <v>0</v>
      </c>
      <c r="AT26">
        <f t="shared" si="28"/>
        <v>0</v>
      </c>
      <c r="AU26" s="388" t="str">
        <f>IF(AT26=0,"",IF(AND(AT26=1,M26="F",SUMIF(C2:C53,C26,AS2:AS53)&lt;=1),SUMIF(C2:C53,C26,AS2:AS53),IF(AND(AT26=1,M26="F",SUMIF(C2:C53,C26,AS2:AS53)&gt;1),1,"")))</f>
        <v/>
      </c>
      <c r="AV26" s="388" t="str">
        <f>IF(AT26=0,"",IF(AND(AT26=3,M26="F",SUMIF(C2:C53,C26,AS2:AS53)&lt;=1),SUMIF(C2:C53,C26,AS2:AS53),IF(AND(AT26=3,M26="F",SUMIF(C2:C53,C26,AS2:AS53)&gt;1),1,"")))</f>
        <v/>
      </c>
      <c r="AW26" s="388">
        <f>SUMIF(C2:C53,C26,O2:O53)</f>
        <v>0</v>
      </c>
      <c r="AX26" s="388">
        <f>IF(AND(M26="F",AS26&lt;&gt;0),SUMIF(C2:C53,C26,W2:W53),0)</f>
        <v>0</v>
      </c>
      <c r="AY26" s="388" t="str">
        <f t="shared" si="29"/>
        <v/>
      </c>
      <c r="AZ26" s="388" t="str">
        <f t="shared" si="30"/>
        <v/>
      </c>
      <c r="BA26" s="388">
        <f t="shared" si="31"/>
        <v>0</v>
      </c>
      <c r="BB26" s="388">
        <f t="shared" si="0"/>
        <v>0</v>
      </c>
      <c r="BC26" s="388">
        <f t="shared" si="1"/>
        <v>0</v>
      </c>
      <c r="BD26" s="388">
        <f t="shared" si="2"/>
        <v>0</v>
      </c>
      <c r="BE26" s="388">
        <f t="shared" si="3"/>
        <v>0</v>
      </c>
      <c r="BF26" s="388">
        <f t="shared" si="4"/>
        <v>0</v>
      </c>
      <c r="BG26" s="388">
        <f t="shared" si="5"/>
        <v>0</v>
      </c>
      <c r="BH26" s="388">
        <f t="shared" si="6"/>
        <v>0</v>
      </c>
      <c r="BI26" s="388">
        <f t="shared" si="7"/>
        <v>0</v>
      </c>
      <c r="BJ26" s="388">
        <f t="shared" si="8"/>
        <v>0</v>
      </c>
      <c r="BK26" s="388">
        <f t="shared" si="9"/>
        <v>0</v>
      </c>
      <c r="BL26" s="388">
        <f t="shared" si="32"/>
        <v>0</v>
      </c>
      <c r="BM26" s="388">
        <f t="shared" si="33"/>
        <v>0</v>
      </c>
      <c r="BN26" s="388">
        <f t="shared" si="10"/>
        <v>0</v>
      </c>
      <c r="BO26" s="388">
        <f t="shared" si="11"/>
        <v>0</v>
      </c>
      <c r="BP26" s="388">
        <f t="shared" si="12"/>
        <v>0</v>
      </c>
      <c r="BQ26" s="388">
        <f t="shared" si="13"/>
        <v>0</v>
      </c>
      <c r="BR26" s="388">
        <f t="shared" si="14"/>
        <v>0</v>
      </c>
      <c r="BS26" s="388">
        <f t="shared" si="15"/>
        <v>0</v>
      </c>
      <c r="BT26" s="388">
        <f t="shared" si="16"/>
        <v>0</v>
      </c>
      <c r="BU26" s="388">
        <f t="shared" si="17"/>
        <v>0</v>
      </c>
      <c r="BV26" s="388">
        <f t="shared" si="18"/>
        <v>0</v>
      </c>
      <c r="BW26" s="388">
        <f t="shared" si="19"/>
        <v>0</v>
      </c>
      <c r="BX26" s="388">
        <f t="shared" si="34"/>
        <v>0</v>
      </c>
      <c r="BY26" s="388">
        <f t="shared" si="35"/>
        <v>0</v>
      </c>
      <c r="BZ26" s="388">
        <f t="shared" si="36"/>
        <v>0</v>
      </c>
      <c r="CA26" s="388">
        <f t="shared" si="37"/>
        <v>0</v>
      </c>
      <c r="CB26" s="388">
        <f t="shared" si="38"/>
        <v>0</v>
      </c>
      <c r="CC26" s="388">
        <f t="shared" si="20"/>
        <v>0</v>
      </c>
      <c r="CD26" s="388">
        <f t="shared" si="21"/>
        <v>0</v>
      </c>
      <c r="CE26" s="388">
        <f t="shared" si="22"/>
        <v>0</v>
      </c>
      <c r="CF26" s="388">
        <f t="shared" si="23"/>
        <v>0</v>
      </c>
      <c r="CG26" s="388">
        <f t="shared" si="24"/>
        <v>0</v>
      </c>
      <c r="CH26" s="388">
        <f t="shared" si="25"/>
        <v>0</v>
      </c>
      <c r="CI26" s="388">
        <f t="shared" si="26"/>
        <v>0</v>
      </c>
      <c r="CJ26" s="388">
        <f t="shared" si="39"/>
        <v>0</v>
      </c>
      <c r="CK26" s="388" t="str">
        <f t="shared" si="40"/>
        <v/>
      </c>
      <c r="CL26" s="388" t="str">
        <f t="shared" si="41"/>
        <v/>
      </c>
      <c r="CM26" s="388" t="str">
        <f t="shared" si="42"/>
        <v/>
      </c>
      <c r="CN26" s="388" t="str">
        <f t="shared" si="43"/>
        <v>0229-20</v>
      </c>
    </row>
    <row r="27" spans="1:92" ht="15.75" thickBot="1">
      <c r="A27" s="377" t="s">
        <v>162</v>
      </c>
      <c r="B27" s="377" t="s">
        <v>163</v>
      </c>
      <c r="C27" s="377" t="s">
        <v>302</v>
      </c>
      <c r="D27" s="377" t="s">
        <v>303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304</v>
      </c>
      <c r="L27" s="377" t="s">
        <v>249</v>
      </c>
      <c r="M27" s="377" t="s">
        <v>172</v>
      </c>
      <c r="N27" s="377" t="s">
        <v>254</v>
      </c>
      <c r="O27" s="380">
        <v>1</v>
      </c>
      <c r="P27" s="386">
        <v>1</v>
      </c>
      <c r="Q27" s="386">
        <v>1</v>
      </c>
      <c r="R27" s="381">
        <v>80</v>
      </c>
      <c r="S27" s="386">
        <v>1</v>
      </c>
      <c r="T27" s="381">
        <v>6024.99</v>
      </c>
      <c r="U27" s="381">
        <v>0</v>
      </c>
      <c r="V27" s="381">
        <v>2259.4699999999998</v>
      </c>
      <c r="W27" s="381">
        <v>74817.600000000006</v>
      </c>
      <c r="X27" s="381">
        <v>28145.09</v>
      </c>
      <c r="Y27" s="381">
        <v>74817.600000000006</v>
      </c>
      <c r="Z27" s="381">
        <v>28833.95</v>
      </c>
      <c r="AA27" s="377" t="s">
        <v>305</v>
      </c>
      <c r="AB27" s="377" t="s">
        <v>306</v>
      </c>
      <c r="AC27" s="377" t="s">
        <v>307</v>
      </c>
      <c r="AD27" s="377" t="s">
        <v>308</v>
      </c>
      <c r="AE27" s="377" t="s">
        <v>304</v>
      </c>
      <c r="AF27" s="377" t="s">
        <v>259</v>
      </c>
      <c r="AG27" s="377" t="s">
        <v>179</v>
      </c>
      <c r="AH27" s="382">
        <v>35.97</v>
      </c>
      <c r="AI27" s="382">
        <v>10709.5</v>
      </c>
      <c r="AJ27" s="377" t="s">
        <v>180</v>
      </c>
      <c r="AK27" s="377" t="s">
        <v>181</v>
      </c>
      <c r="AL27" s="377" t="s">
        <v>182</v>
      </c>
      <c r="AM27" s="377" t="s">
        <v>183</v>
      </c>
      <c r="AN27" s="377" t="s">
        <v>66</v>
      </c>
      <c r="AO27" s="380">
        <v>80</v>
      </c>
      <c r="AP27" s="386">
        <v>1</v>
      </c>
      <c r="AQ27" s="386">
        <v>1</v>
      </c>
      <c r="AR27" s="384" t="s">
        <v>184</v>
      </c>
      <c r="AS27" s="388">
        <f t="shared" si="27"/>
        <v>1</v>
      </c>
      <c r="AT27">
        <f t="shared" si="28"/>
        <v>1</v>
      </c>
      <c r="AU27" s="388">
        <f>IF(AT27=0,"",IF(AND(AT27=1,M27="F",SUMIF(C2:C53,C27,AS2:AS53)&lt;=1),SUMIF(C2:C53,C27,AS2:AS53),IF(AND(AT27=1,M27="F",SUMIF(C2:C53,C27,AS2:AS53)&gt;1),1,"")))</f>
        <v>1</v>
      </c>
      <c r="AV27" s="388" t="str">
        <f>IF(AT27=0,"",IF(AND(AT27=3,M27="F",SUMIF(C2:C53,C27,AS2:AS53)&lt;=1),SUMIF(C2:C53,C27,AS2:AS53),IF(AND(AT27=3,M27="F",SUMIF(C2:C53,C27,AS2:AS53)&gt;1),1,"")))</f>
        <v/>
      </c>
      <c r="AW27" s="388">
        <f>SUMIF(C2:C53,C27,O2:O53)</f>
        <v>1</v>
      </c>
      <c r="AX27" s="388">
        <f>IF(AND(M27="F",AS27&lt;&gt;0),SUMIF(C2:C53,C27,W2:W53),0)</f>
        <v>74817.600000000006</v>
      </c>
      <c r="AY27" s="388">
        <f t="shared" si="29"/>
        <v>74817.600000000006</v>
      </c>
      <c r="AZ27" s="388" t="str">
        <f t="shared" si="30"/>
        <v/>
      </c>
      <c r="BA27" s="388">
        <f t="shared" si="31"/>
        <v>0</v>
      </c>
      <c r="BB27" s="388">
        <f t="shared" si="0"/>
        <v>12500</v>
      </c>
      <c r="BC27" s="388">
        <f t="shared" si="1"/>
        <v>0</v>
      </c>
      <c r="BD27" s="388">
        <f t="shared" si="2"/>
        <v>4638.6912000000002</v>
      </c>
      <c r="BE27" s="388">
        <f t="shared" si="3"/>
        <v>1084.8552000000002</v>
      </c>
      <c r="BF27" s="388">
        <f t="shared" si="4"/>
        <v>8933.2214400000012</v>
      </c>
      <c r="BG27" s="388">
        <f t="shared" si="5"/>
        <v>539.43489600000009</v>
      </c>
      <c r="BH27" s="388">
        <f t="shared" si="6"/>
        <v>0</v>
      </c>
      <c r="BI27" s="388">
        <f t="shared" si="7"/>
        <v>0</v>
      </c>
      <c r="BJ27" s="388">
        <f t="shared" si="8"/>
        <v>448.90560000000005</v>
      </c>
      <c r="BK27" s="388">
        <f t="shared" si="9"/>
        <v>0</v>
      </c>
      <c r="BL27" s="388">
        <f t="shared" si="32"/>
        <v>15645.108336000001</v>
      </c>
      <c r="BM27" s="388">
        <f t="shared" si="33"/>
        <v>0</v>
      </c>
      <c r="BN27" s="388">
        <f t="shared" si="10"/>
        <v>13750</v>
      </c>
      <c r="BO27" s="388">
        <f t="shared" si="11"/>
        <v>0</v>
      </c>
      <c r="BP27" s="388">
        <f t="shared" si="12"/>
        <v>4638.6912000000002</v>
      </c>
      <c r="BQ27" s="388">
        <f t="shared" si="13"/>
        <v>1084.8552000000002</v>
      </c>
      <c r="BR27" s="388">
        <f t="shared" si="14"/>
        <v>8364.607680000001</v>
      </c>
      <c r="BS27" s="388">
        <f t="shared" si="15"/>
        <v>539.43489600000009</v>
      </c>
      <c r="BT27" s="388">
        <f t="shared" si="16"/>
        <v>0</v>
      </c>
      <c r="BU27" s="388">
        <f t="shared" si="17"/>
        <v>0</v>
      </c>
      <c r="BV27" s="388">
        <f t="shared" si="18"/>
        <v>456.38736000000006</v>
      </c>
      <c r="BW27" s="388">
        <f t="shared" si="19"/>
        <v>0</v>
      </c>
      <c r="BX27" s="388">
        <f t="shared" si="34"/>
        <v>15083.976336000002</v>
      </c>
      <c r="BY27" s="388">
        <f t="shared" si="35"/>
        <v>0</v>
      </c>
      <c r="BZ27" s="388">
        <f t="shared" si="36"/>
        <v>1250</v>
      </c>
      <c r="CA27" s="388">
        <f t="shared" si="37"/>
        <v>0</v>
      </c>
      <c r="CB27" s="388">
        <f t="shared" si="38"/>
        <v>0</v>
      </c>
      <c r="CC27" s="388">
        <f t="shared" si="20"/>
        <v>0</v>
      </c>
      <c r="CD27" s="388">
        <f t="shared" si="21"/>
        <v>-568.61376000000075</v>
      </c>
      <c r="CE27" s="388">
        <f t="shared" si="22"/>
        <v>0</v>
      </c>
      <c r="CF27" s="388">
        <f t="shared" si="23"/>
        <v>0</v>
      </c>
      <c r="CG27" s="388">
        <f t="shared" si="24"/>
        <v>0</v>
      </c>
      <c r="CH27" s="388">
        <f t="shared" si="25"/>
        <v>7.48176000000002</v>
      </c>
      <c r="CI27" s="388">
        <f t="shared" si="26"/>
        <v>0</v>
      </c>
      <c r="CJ27" s="388">
        <f t="shared" si="39"/>
        <v>-561.13200000000074</v>
      </c>
      <c r="CK27" s="388" t="str">
        <f t="shared" si="40"/>
        <v/>
      </c>
      <c r="CL27" s="388" t="str">
        <f t="shared" si="41"/>
        <v/>
      </c>
      <c r="CM27" s="388" t="str">
        <f t="shared" si="42"/>
        <v/>
      </c>
      <c r="CN27" s="388" t="str">
        <f t="shared" si="43"/>
        <v>0229-20</v>
      </c>
    </row>
    <row r="28" spans="1:92" ht="15.75" thickBot="1">
      <c r="A28" s="377" t="s">
        <v>162</v>
      </c>
      <c r="B28" s="377" t="s">
        <v>163</v>
      </c>
      <c r="C28" s="377" t="s">
        <v>309</v>
      </c>
      <c r="D28" s="377" t="s">
        <v>210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310</v>
      </c>
      <c r="L28" s="377" t="s">
        <v>171</v>
      </c>
      <c r="M28" s="377" t="s">
        <v>172</v>
      </c>
      <c r="N28" s="377" t="s">
        <v>173</v>
      </c>
      <c r="O28" s="380">
        <v>1</v>
      </c>
      <c r="P28" s="386">
        <v>1</v>
      </c>
      <c r="Q28" s="386">
        <v>1</v>
      </c>
      <c r="R28" s="381">
        <v>80</v>
      </c>
      <c r="S28" s="386">
        <v>1</v>
      </c>
      <c r="T28" s="381">
        <v>14672</v>
      </c>
      <c r="U28" s="381">
        <v>0</v>
      </c>
      <c r="V28" s="381">
        <v>6653.92</v>
      </c>
      <c r="W28" s="381">
        <v>48214.400000000001</v>
      </c>
      <c r="X28" s="381">
        <v>22849.18</v>
      </c>
      <c r="Y28" s="381">
        <v>48214.400000000001</v>
      </c>
      <c r="Z28" s="381">
        <v>23737.57</v>
      </c>
      <c r="AA28" s="377" t="s">
        <v>311</v>
      </c>
      <c r="AB28" s="377" t="s">
        <v>312</v>
      </c>
      <c r="AC28" s="377" t="s">
        <v>313</v>
      </c>
      <c r="AD28" s="377" t="s">
        <v>292</v>
      </c>
      <c r="AE28" s="377" t="s">
        <v>310</v>
      </c>
      <c r="AF28" s="377" t="s">
        <v>178</v>
      </c>
      <c r="AG28" s="377" t="s">
        <v>179</v>
      </c>
      <c r="AH28" s="382">
        <v>23.18</v>
      </c>
      <c r="AI28" s="382">
        <v>17899.3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6">
        <v>1</v>
      </c>
      <c r="AQ28" s="386">
        <v>1</v>
      </c>
      <c r="AR28" s="384" t="s">
        <v>184</v>
      </c>
      <c r="AS28" s="388">
        <f t="shared" si="27"/>
        <v>1</v>
      </c>
      <c r="AT28">
        <f t="shared" si="28"/>
        <v>1</v>
      </c>
      <c r="AU28" s="388">
        <f>IF(AT28=0,"",IF(AND(AT28=1,M28="F",SUMIF(C2:C53,C28,AS2:AS53)&lt;=1),SUMIF(C2:C53,C28,AS2:AS53),IF(AND(AT28=1,M28="F",SUMIF(C2:C53,C28,AS2:AS53)&gt;1),1,"")))</f>
        <v>1</v>
      </c>
      <c r="AV28" s="388" t="str">
        <f>IF(AT28=0,"",IF(AND(AT28=3,M28="F",SUMIF(C2:C53,C28,AS2:AS53)&lt;=1),SUMIF(C2:C53,C28,AS2:AS53),IF(AND(AT28=3,M28="F",SUMIF(C2:C53,C28,AS2:AS53)&gt;1),1,"")))</f>
        <v/>
      </c>
      <c r="AW28" s="388">
        <f>SUMIF(C2:C53,C28,O2:O53)</f>
        <v>1</v>
      </c>
      <c r="AX28" s="388">
        <f>IF(AND(M28="F",AS28&lt;&gt;0),SUMIF(C2:C53,C28,W2:W53),0)</f>
        <v>48214.400000000001</v>
      </c>
      <c r="AY28" s="388">
        <f t="shared" si="29"/>
        <v>48214.400000000001</v>
      </c>
      <c r="AZ28" s="388" t="str">
        <f t="shared" si="30"/>
        <v/>
      </c>
      <c r="BA28" s="388">
        <f t="shared" si="31"/>
        <v>0</v>
      </c>
      <c r="BB28" s="388">
        <f t="shared" si="0"/>
        <v>12500</v>
      </c>
      <c r="BC28" s="388">
        <f t="shared" si="1"/>
        <v>0</v>
      </c>
      <c r="BD28" s="388">
        <f t="shared" si="2"/>
        <v>2989.2928000000002</v>
      </c>
      <c r="BE28" s="388">
        <f t="shared" si="3"/>
        <v>699.10880000000009</v>
      </c>
      <c r="BF28" s="388">
        <f t="shared" si="4"/>
        <v>5756.7993600000009</v>
      </c>
      <c r="BG28" s="388">
        <f t="shared" si="5"/>
        <v>347.62582400000002</v>
      </c>
      <c r="BH28" s="388">
        <f t="shared" si="6"/>
        <v>0</v>
      </c>
      <c r="BI28" s="388">
        <f t="shared" si="7"/>
        <v>266.86670400000003</v>
      </c>
      <c r="BJ28" s="388">
        <f t="shared" si="8"/>
        <v>289.28640000000001</v>
      </c>
      <c r="BK28" s="388">
        <f t="shared" si="9"/>
        <v>0</v>
      </c>
      <c r="BL28" s="388">
        <f t="shared" si="32"/>
        <v>10348.979888000003</v>
      </c>
      <c r="BM28" s="388">
        <f t="shared" si="33"/>
        <v>0</v>
      </c>
      <c r="BN28" s="388">
        <f t="shared" si="10"/>
        <v>13750</v>
      </c>
      <c r="BO28" s="388">
        <f t="shared" si="11"/>
        <v>0</v>
      </c>
      <c r="BP28" s="388">
        <f t="shared" si="12"/>
        <v>2989.2928000000002</v>
      </c>
      <c r="BQ28" s="388">
        <f t="shared" si="13"/>
        <v>699.10880000000009</v>
      </c>
      <c r="BR28" s="388">
        <f t="shared" si="14"/>
        <v>5390.3699200000001</v>
      </c>
      <c r="BS28" s="388">
        <f t="shared" si="15"/>
        <v>347.62582400000002</v>
      </c>
      <c r="BT28" s="388">
        <f t="shared" si="16"/>
        <v>0</v>
      </c>
      <c r="BU28" s="388">
        <f t="shared" si="17"/>
        <v>266.86670400000003</v>
      </c>
      <c r="BV28" s="388">
        <f t="shared" si="18"/>
        <v>294.10784000000001</v>
      </c>
      <c r="BW28" s="388">
        <f t="shared" si="19"/>
        <v>0</v>
      </c>
      <c r="BX28" s="388">
        <f t="shared" si="34"/>
        <v>9987.3718880000015</v>
      </c>
      <c r="BY28" s="388">
        <f t="shared" si="35"/>
        <v>0</v>
      </c>
      <c r="BZ28" s="388">
        <f t="shared" si="36"/>
        <v>1250</v>
      </c>
      <c r="CA28" s="388">
        <f t="shared" si="37"/>
        <v>0</v>
      </c>
      <c r="CB28" s="388">
        <f t="shared" si="38"/>
        <v>0</v>
      </c>
      <c r="CC28" s="388">
        <f t="shared" si="20"/>
        <v>0</v>
      </c>
      <c r="CD28" s="388">
        <f t="shared" si="21"/>
        <v>-366.42944000000045</v>
      </c>
      <c r="CE28" s="388">
        <f t="shared" si="22"/>
        <v>0</v>
      </c>
      <c r="CF28" s="388">
        <f t="shared" si="23"/>
        <v>0</v>
      </c>
      <c r="CG28" s="388">
        <f t="shared" si="24"/>
        <v>0</v>
      </c>
      <c r="CH28" s="388">
        <f t="shared" si="25"/>
        <v>4.8214400000000124</v>
      </c>
      <c r="CI28" s="388">
        <f t="shared" si="26"/>
        <v>0</v>
      </c>
      <c r="CJ28" s="388">
        <f t="shared" si="39"/>
        <v>-361.60800000000046</v>
      </c>
      <c r="CK28" s="388" t="str">
        <f t="shared" si="40"/>
        <v/>
      </c>
      <c r="CL28" s="388" t="str">
        <f t="shared" si="41"/>
        <v/>
      </c>
      <c r="CM28" s="388" t="str">
        <f t="shared" si="42"/>
        <v/>
      </c>
      <c r="CN28" s="388" t="str">
        <f t="shared" si="43"/>
        <v>0229-20</v>
      </c>
    </row>
    <row r="29" spans="1:92" ht="15.75" thickBot="1">
      <c r="A29" s="377" t="s">
        <v>162</v>
      </c>
      <c r="B29" s="377" t="s">
        <v>163</v>
      </c>
      <c r="C29" s="377" t="s">
        <v>314</v>
      </c>
      <c r="D29" s="377" t="s">
        <v>315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316</v>
      </c>
      <c r="L29" s="377" t="s">
        <v>212</v>
      </c>
      <c r="M29" s="377" t="s">
        <v>172</v>
      </c>
      <c r="N29" s="377" t="s">
        <v>254</v>
      </c>
      <c r="O29" s="380">
        <v>1</v>
      </c>
      <c r="P29" s="386">
        <v>1</v>
      </c>
      <c r="Q29" s="386">
        <v>1</v>
      </c>
      <c r="R29" s="381">
        <v>80</v>
      </c>
      <c r="S29" s="386">
        <v>1</v>
      </c>
      <c r="T29" s="381">
        <v>77917</v>
      </c>
      <c r="U29" s="381">
        <v>0</v>
      </c>
      <c r="V29" s="381">
        <v>28057.23</v>
      </c>
      <c r="W29" s="381">
        <v>80454.399999999994</v>
      </c>
      <c r="X29" s="381">
        <v>29323.79</v>
      </c>
      <c r="Y29" s="381">
        <v>80454.399999999994</v>
      </c>
      <c r="Z29" s="381">
        <v>29970.39</v>
      </c>
      <c r="AA29" s="377" t="s">
        <v>317</v>
      </c>
      <c r="AB29" s="377" t="s">
        <v>318</v>
      </c>
      <c r="AC29" s="377" t="s">
        <v>319</v>
      </c>
      <c r="AD29" s="377" t="s">
        <v>192</v>
      </c>
      <c r="AE29" s="377" t="s">
        <v>316</v>
      </c>
      <c r="AF29" s="377" t="s">
        <v>259</v>
      </c>
      <c r="AG29" s="377" t="s">
        <v>179</v>
      </c>
      <c r="AH29" s="382">
        <v>38.68</v>
      </c>
      <c r="AI29" s="380">
        <v>33432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6">
        <v>1</v>
      </c>
      <c r="AQ29" s="386">
        <v>1</v>
      </c>
      <c r="AR29" s="384" t="s">
        <v>184</v>
      </c>
      <c r="AS29" s="388">
        <f t="shared" si="27"/>
        <v>1</v>
      </c>
      <c r="AT29">
        <f t="shared" si="28"/>
        <v>1</v>
      </c>
      <c r="AU29" s="388">
        <f>IF(AT29=0,"",IF(AND(AT29=1,M29="F",SUMIF(C2:C53,C29,AS2:AS53)&lt;=1),SUMIF(C2:C53,C29,AS2:AS53),IF(AND(AT29=1,M29="F",SUMIF(C2:C53,C29,AS2:AS53)&gt;1),1,"")))</f>
        <v>1</v>
      </c>
      <c r="AV29" s="388" t="str">
        <f>IF(AT29=0,"",IF(AND(AT29=3,M29="F",SUMIF(C2:C53,C29,AS2:AS53)&lt;=1),SUMIF(C2:C53,C29,AS2:AS53),IF(AND(AT29=3,M29="F",SUMIF(C2:C53,C29,AS2:AS53)&gt;1),1,"")))</f>
        <v/>
      </c>
      <c r="AW29" s="388">
        <f>SUMIF(C2:C53,C29,O2:O53)</f>
        <v>1</v>
      </c>
      <c r="AX29" s="388">
        <f>IF(AND(M29="F",AS29&lt;&gt;0),SUMIF(C2:C53,C29,W2:W53),0)</f>
        <v>80454.399999999994</v>
      </c>
      <c r="AY29" s="388">
        <f t="shared" si="29"/>
        <v>80454.399999999994</v>
      </c>
      <c r="AZ29" s="388" t="str">
        <f t="shared" si="30"/>
        <v/>
      </c>
      <c r="BA29" s="388">
        <f t="shared" si="31"/>
        <v>0</v>
      </c>
      <c r="BB29" s="388">
        <f t="shared" si="0"/>
        <v>12500</v>
      </c>
      <c r="BC29" s="388">
        <f t="shared" si="1"/>
        <v>0</v>
      </c>
      <c r="BD29" s="388">
        <f t="shared" si="2"/>
        <v>4988.1727999999994</v>
      </c>
      <c r="BE29" s="388">
        <f t="shared" si="3"/>
        <v>1166.5888</v>
      </c>
      <c r="BF29" s="388">
        <f t="shared" si="4"/>
        <v>9606.2553599999992</v>
      </c>
      <c r="BG29" s="388">
        <f t="shared" si="5"/>
        <v>580.07622400000002</v>
      </c>
      <c r="BH29" s="388">
        <f t="shared" si="6"/>
        <v>0</v>
      </c>
      <c r="BI29" s="388">
        <f t="shared" si="7"/>
        <v>0</v>
      </c>
      <c r="BJ29" s="388">
        <f t="shared" si="8"/>
        <v>482.72639999999996</v>
      </c>
      <c r="BK29" s="388">
        <f t="shared" si="9"/>
        <v>0</v>
      </c>
      <c r="BL29" s="388">
        <f t="shared" si="32"/>
        <v>16823.819584000001</v>
      </c>
      <c r="BM29" s="388">
        <f t="shared" si="33"/>
        <v>0</v>
      </c>
      <c r="BN29" s="388">
        <f t="shared" si="10"/>
        <v>13750</v>
      </c>
      <c r="BO29" s="388">
        <f t="shared" si="11"/>
        <v>0</v>
      </c>
      <c r="BP29" s="388">
        <f t="shared" si="12"/>
        <v>4988.1727999999994</v>
      </c>
      <c r="BQ29" s="388">
        <f t="shared" si="13"/>
        <v>1166.5888</v>
      </c>
      <c r="BR29" s="388">
        <f t="shared" si="14"/>
        <v>8994.8019199999999</v>
      </c>
      <c r="BS29" s="388">
        <f t="shared" si="15"/>
        <v>580.07622400000002</v>
      </c>
      <c r="BT29" s="388">
        <f t="shared" si="16"/>
        <v>0</v>
      </c>
      <c r="BU29" s="388">
        <f t="shared" si="17"/>
        <v>0</v>
      </c>
      <c r="BV29" s="388">
        <f t="shared" si="18"/>
        <v>490.77184</v>
      </c>
      <c r="BW29" s="388">
        <f t="shared" si="19"/>
        <v>0</v>
      </c>
      <c r="BX29" s="388">
        <f t="shared" si="34"/>
        <v>16220.411583999999</v>
      </c>
      <c r="BY29" s="388">
        <f t="shared" si="35"/>
        <v>0</v>
      </c>
      <c r="BZ29" s="388">
        <f t="shared" si="36"/>
        <v>1250</v>
      </c>
      <c r="CA29" s="388">
        <f t="shared" si="37"/>
        <v>0</v>
      </c>
      <c r="CB29" s="388">
        <f t="shared" si="38"/>
        <v>0</v>
      </c>
      <c r="CC29" s="388">
        <f t="shared" si="20"/>
        <v>0</v>
      </c>
      <c r="CD29" s="388">
        <f t="shared" si="21"/>
        <v>-611.45344000000068</v>
      </c>
      <c r="CE29" s="388">
        <f t="shared" si="22"/>
        <v>0</v>
      </c>
      <c r="CF29" s="388">
        <f t="shared" si="23"/>
        <v>0</v>
      </c>
      <c r="CG29" s="388">
        <f t="shared" si="24"/>
        <v>0</v>
      </c>
      <c r="CH29" s="388">
        <f t="shared" si="25"/>
        <v>8.0454400000000206</v>
      </c>
      <c r="CI29" s="388">
        <f t="shared" si="26"/>
        <v>0</v>
      </c>
      <c r="CJ29" s="388">
        <f t="shared" si="39"/>
        <v>-603.4080000000007</v>
      </c>
      <c r="CK29" s="388" t="str">
        <f t="shared" si="40"/>
        <v/>
      </c>
      <c r="CL29" s="388" t="str">
        <f t="shared" si="41"/>
        <v/>
      </c>
      <c r="CM29" s="388" t="str">
        <f t="shared" si="42"/>
        <v/>
      </c>
      <c r="CN29" s="388" t="str">
        <f t="shared" si="43"/>
        <v>0229-20</v>
      </c>
    </row>
    <row r="30" spans="1:92" ht="15.75" thickBot="1">
      <c r="A30" s="377" t="s">
        <v>162</v>
      </c>
      <c r="B30" s="377" t="s">
        <v>163</v>
      </c>
      <c r="C30" s="377" t="s">
        <v>320</v>
      </c>
      <c r="D30" s="377" t="s">
        <v>210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310</v>
      </c>
      <c r="L30" s="377" t="s">
        <v>171</v>
      </c>
      <c r="M30" s="377" t="s">
        <v>172</v>
      </c>
      <c r="N30" s="377" t="s">
        <v>173</v>
      </c>
      <c r="O30" s="380">
        <v>1</v>
      </c>
      <c r="P30" s="386">
        <v>1</v>
      </c>
      <c r="Q30" s="386">
        <v>1</v>
      </c>
      <c r="R30" s="381">
        <v>80</v>
      </c>
      <c r="S30" s="386">
        <v>1</v>
      </c>
      <c r="T30" s="381">
        <v>16472</v>
      </c>
      <c r="U30" s="381">
        <v>0</v>
      </c>
      <c r="V30" s="381">
        <v>8470.5</v>
      </c>
      <c r="W30" s="381">
        <v>48214.400000000001</v>
      </c>
      <c r="X30" s="381">
        <v>22849.18</v>
      </c>
      <c r="Y30" s="381">
        <v>48214.400000000001</v>
      </c>
      <c r="Z30" s="381">
        <v>23737.57</v>
      </c>
      <c r="AA30" s="377" t="s">
        <v>321</v>
      </c>
      <c r="AB30" s="377" t="s">
        <v>322</v>
      </c>
      <c r="AC30" s="377" t="s">
        <v>323</v>
      </c>
      <c r="AD30" s="377" t="s">
        <v>292</v>
      </c>
      <c r="AE30" s="377" t="s">
        <v>310</v>
      </c>
      <c r="AF30" s="377" t="s">
        <v>178</v>
      </c>
      <c r="AG30" s="377" t="s">
        <v>179</v>
      </c>
      <c r="AH30" s="382">
        <v>23.18</v>
      </c>
      <c r="AI30" s="382">
        <v>2202.4</v>
      </c>
      <c r="AJ30" s="377" t="s">
        <v>180</v>
      </c>
      <c r="AK30" s="377" t="s">
        <v>181</v>
      </c>
      <c r="AL30" s="377" t="s">
        <v>182</v>
      </c>
      <c r="AM30" s="377" t="s">
        <v>183</v>
      </c>
      <c r="AN30" s="377" t="s">
        <v>66</v>
      </c>
      <c r="AO30" s="380">
        <v>80</v>
      </c>
      <c r="AP30" s="386">
        <v>1</v>
      </c>
      <c r="AQ30" s="386">
        <v>1</v>
      </c>
      <c r="AR30" s="384" t="s">
        <v>184</v>
      </c>
      <c r="AS30" s="388">
        <f t="shared" si="27"/>
        <v>1</v>
      </c>
      <c r="AT30">
        <f t="shared" si="28"/>
        <v>1</v>
      </c>
      <c r="AU30" s="388">
        <f>IF(AT30=0,"",IF(AND(AT30=1,M30="F",SUMIF(C2:C53,C30,AS2:AS53)&lt;=1),SUMIF(C2:C53,C30,AS2:AS53),IF(AND(AT30=1,M30="F",SUMIF(C2:C53,C30,AS2:AS53)&gt;1),1,"")))</f>
        <v>1</v>
      </c>
      <c r="AV30" s="388" t="str">
        <f>IF(AT30=0,"",IF(AND(AT30=3,M30="F",SUMIF(C2:C53,C30,AS2:AS53)&lt;=1),SUMIF(C2:C53,C30,AS2:AS53),IF(AND(AT30=3,M30="F",SUMIF(C2:C53,C30,AS2:AS53)&gt;1),1,"")))</f>
        <v/>
      </c>
      <c r="AW30" s="388">
        <f>SUMIF(C2:C53,C30,O2:O53)</f>
        <v>1</v>
      </c>
      <c r="AX30" s="388">
        <f>IF(AND(M30="F",AS30&lt;&gt;0),SUMIF(C2:C53,C30,W2:W53),0)</f>
        <v>48214.400000000001</v>
      </c>
      <c r="AY30" s="388">
        <f t="shared" si="29"/>
        <v>48214.400000000001</v>
      </c>
      <c r="AZ30" s="388" t="str">
        <f t="shared" si="30"/>
        <v/>
      </c>
      <c r="BA30" s="388">
        <f t="shared" si="31"/>
        <v>0</v>
      </c>
      <c r="BB30" s="388">
        <f t="shared" si="0"/>
        <v>12500</v>
      </c>
      <c r="BC30" s="388">
        <f t="shared" si="1"/>
        <v>0</v>
      </c>
      <c r="BD30" s="388">
        <f t="shared" si="2"/>
        <v>2989.2928000000002</v>
      </c>
      <c r="BE30" s="388">
        <f t="shared" si="3"/>
        <v>699.10880000000009</v>
      </c>
      <c r="BF30" s="388">
        <f t="shared" si="4"/>
        <v>5756.7993600000009</v>
      </c>
      <c r="BG30" s="388">
        <f t="shared" si="5"/>
        <v>347.62582400000002</v>
      </c>
      <c r="BH30" s="388">
        <f t="shared" si="6"/>
        <v>0</v>
      </c>
      <c r="BI30" s="388">
        <f t="shared" si="7"/>
        <v>266.86670400000003</v>
      </c>
      <c r="BJ30" s="388">
        <f t="shared" si="8"/>
        <v>289.28640000000001</v>
      </c>
      <c r="BK30" s="388">
        <f t="shared" si="9"/>
        <v>0</v>
      </c>
      <c r="BL30" s="388">
        <f t="shared" si="32"/>
        <v>10348.979888000003</v>
      </c>
      <c r="BM30" s="388">
        <f t="shared" si="33"/>
        <v>0</v>
      </c>
      <c r="BN30" s="388">
        <f t="shared" si="10"/>
        <v>13750</v>
      </c>
      <c r="BO30" s="388">
        <f t="shared" si="11"/>
        <v>0</v>
      </c>
      <c r="BP30" s="388">
        <f t="shared" si="12"/>
        <v>2989.2928000000002</v>
      </c>
      <c r="BQ30" s="388">
        <f t="shared" si="13"/>
        <v>699.10880000000009</v>
      </c>
      <c r="BR30" s="388">
        <f t="shared" si="14"/>
        <v>5390.3699200000001</v>
      </c>
      <c r="BS30" s="388">
        <f t="shared" si="15"/>
        <v>347.62582400000002</v>
      </c>
      <c r="BT30" s="388">
        <f t="shared" si="16"/>
        <v>0</v>
      </c>
      <c r="BU30" s="388">
        <f t="shared" si="17"/>
        <v>266.86670400000003</v>
      </c>
      <c r="BV30" s="388">
        <f t="shared" si="18"/>
        <v>294.10784000000001</v>
      </c>
      <c r="BW30" s="388">
        <f t="shared" si="19"/>
        <v>0</v>
      </c>
      <c r="BX30" s="388">
        <f t="shared" si="34"/>
        <v>9987.3718880000015</v>
      </c>
      <c r="BY30" s="388">
        <f t="shared" si="35"/>
        <v>0</v>
      </c>
      <c r="BZ30" s="388">
        <f t="shared" si="36"/>
        <v>1250</v>
      </c>
      <c r="CA30" s="388">
        <f t="shared" si="37"/>
        <v>0</v>
      </c>
      <c r="CB30" s="388">
        <f t="shared" si="38"/>
        <v>0</v>
      </c>
      <c r="CC30" s="388">
        <f t="shared" si="20"/>
        <v>0</v>
      </c>
      <c r="CD30" s="388">
        <f t="shared" si="21"/>
        <v>-366.42944000000045</v>
      </c>
      <c r="CE30" s="388">
        <f t="shared" si="22"/>
        <v>0</v>
      </c>
      <c r="CF30" s="388">
        <f t="shared" si="23"/>
        <v>0</v>
      </c>
      <c r="CG30" s="388">
        <f t="shared" si="24"/>
        <v>0</v>
      </c>
      <c r="CH30" s="388">
        <f t="shared" si="25"/>
        <v>4.8214400000000124</v>
      </c>
      <c r="CI30" s="388">
        <f t="shared" si="26"/>
        <v>0</v>
      </c>
      <c r="CJ30" s="388">
        <f t="shared" si="39"/>
        <v>-361.60800000000046</v>
      </c>
      <c r="CK30" s="388" t="str">
        <f t="shared" si="40"/>
        <v/>
      </c>
      <c r="CL30" s="388" t="str">
        <f t="shared" si="41"/>
        <v/>
      </c>
      <c r="CM30" s="388" t="str">
        <f t="shared" si="42"/>
        <v/>
      </c>
      <c r="CN30" s="388" t="str">
        <f t="shared" si="43"/>
        <v>0229-20</v>
      </c>
    </row>
    <row r="31" spans="1:92" ht="15.75" thickBot="1">
      <c r="A31" s="377" t="s">
        <v>162</v>
      </c>
      <c r="B31" s="377" t="s">
        <v>163</v>
      </c>
      <c r="C31" s="377" t="s">
        <v>324</v>
      </c>
      <c r="D31" s="377" t="s">
        <v>325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326</v>
      </c>
      <c r="L31" s="377" t="s">
        <v>234</v>
      </c>
      <c r="M31" s="377" t="s">
        <v>172</v>
      </c>
      <c r="N31" s="377" t="s">
        <v>173</v>
      </c>
      <c r="O31" s="380">
        <v>1</v>
      </c>
      <c r="P31" s="386">
        <v>1</v>
      </c>
      <c r="Q31" s="386">
        <v>1</v>
      </c>
      <c r="R31" s="381">
        <v>80</v>
      </c>
      <c r="S31" s="386">
        <v>1</v>
      </c>
      <c r="T31" s="381">
        <v>59145.599999999999</v>
      </c>
      <c r="U31" s="381">
        <v>0</v>
      </c>
      <c r="V31" s="381">
        <v>24140.44</v>
      </c>
      <c r="W31" s="381">
        <v>57865.599999999999</v>
      </c>
      <c r="X31" s="381">
        <v>24920.83</v>
      </c>
      <c r="Y31" s="381">
        <v>57865.599999999999</v>
      </c>
      <c r="Z31" s="381">
        <v>25736.84</v>
      </c>
      <c r="AA31" s="377" t="s">
        <v>327</v>
      </c>
      <c r="AB31" s="377" t="s">
        <v>328</v>
      </c>
      <c r="AC31" s="377" t="s">
        <v>329</v>
      </c>
      <c r="AD31" s="377" t="s">
        <v>292</v>
      </c>
      <c r="AE31" s="377" t="s">
        <v>326</v>
      </c>
      <c r="AF31" s="377" t="s">
        <v>239</v>
      </c>
      <c r="AG31" s="377" t="s">
        <v>179</v>
      </c>
      <c r="AH31" s="382">
        <v>27.82</v>
      </c>
      <c r="AI31" s="382">
        <v>7604.6</v>
      </c>
      <c r="AJ31" s="377" t="s">
        <v>180</v>
      </c>
      <c r="AK31" s="377" t="s">
        <v>181</v>
      </c>
      <c r="AL31" s="377" t="s">
        <v>182</v>
      </c>
      <c r="AM31" s="377" t="s">
        <v>183</v>
      </c>
      <c r="AN31" s="377" t="s">
        <v>66</v>
      </c>
      <c r="AO31" s="380">
        <v>80</v>
      </c>
      <c r="AP31" s="386">
        <v>1</v>
      </c>
      <c r="AQ31" s="386">
        <v>1</v>
      </c>
      <c r="AR31" s="384" t="s">
        <v>184</v>
      </c>
      <c r="AS31" s="388">
        <f t="shared" si="27"/>
        <v>1</v>
      </c>
      <c r="AT31">
        <f t="shared" si="28"/>
        <v>1</v>
      </c>
      <c r="AU31" s="388">
        <f>IF(AT31=0,"",IF(AND(AT31=1,M31="F",SUMIF(C2:C53,C31,AS2:AS53)&lt;=1),SUMIF(C2:C53,C31,AS2:AS53),IF(AND(AT31=1,M31="F",SUMIF(C2:C53,C31,AS2:AS53)&gt;1),1,"")))</f>
        <v>1</v>
      </c>
      <c r="AV31" s="388" t="str">
        <f>IF(AT31=0,"",IF(AND(AT31=3,M31="F",SUMIF(C2:C53,C31,AS2:AS53)&lt;=1),SUMIF(C2:C53,C31,AS2:AS53),IF(AND(AT31=3,M31="F",SUMIF(C2:C53,C31,AS2:AS53)&gt;1),1,"")))</f>
        <v/>
      </c>
      <c r="AW31" s="388">
        <f>SUMIF(C2:C53,C31,O2:O53)</f>
        <v>1</v>
      </c>
      <c r="AX31" s="388">
        <f>IF(AND(M31="F",AS31&lt;&gt;0),SUMIF(C2:C53,C31,W2:W53),0)</f>
        <v>57865.599999999999</v>
      </c>
      <c r="AY31" s="388">
        <f t="shared" si="29"/>
        <v>57865.599999999999</v>
      </c>
      <c r="AZ31" s="388" t="str">
        <f t="shared" si="30"/>
        <v/>
      </c>
      <c r="BA31" s="388">
        <f t="shared" si="31"/>
        <v>0</v>
      </c>
      <c r="BB31" s="388">
        <f t="shared" si="0"/>
        <v>12500</v>
      </c>
      <c r="BC31" s="388">
        <f t="shared" si="1"/>
        <v>0</v>
      </c>
      <c r="BD31" s="388">
        <f t="shared" si="2"/>
        <v>3587.6671999999999</v>
      </c>
      <c r="BE31" s="388">
        <f t="shared" si="3"/>
        <v>839.05119999999999</v>
      </c>
      <c r="BF31" s="388">
        <f t="shared" si="4"/>
        <v>6909.1526400000002</v>
      </c>
      <c r="BG31" s="388">
        <f t="shared" si="5"/>
        <v>417.21097600000002</v>
      </c>
      <c r="BH31" s="388">
        <f t="shared" si="6"/>
        <v>0</v>
      </c>
      <c r="BI31" s="388">
        <f t="shared" si="7"/>
        <v>320.28609599999999</v>
      </c>
      <c r="BJ31" s="388">
        <f t="shared" si="8"/>
        <v>347.1936</v>
      </c>
      <c r="BK31" s="388">
        <f t="shared" si="9"/>
        <v>0</v>
      </c>
      <c r="BL31" s="388">
        <f t="shared" si="32"/>
        <v>12420.561712000001</v>
      </c>
      <c r="BM31" s="388">
        <f t="shared" si="33"/>
        <v>0</v>
      </c>
      <c r="BN31" s="388">
        <f t="shared" si="10"/>
        <v>13750</v>
      </c>
      <c r="BO31" s="388">
        <f t="shared" si="11"/>
        <v>0</v>
      </c>
      <c r="BP31" s="388">
        <f t="shared" si="12"/>
        <v>3587.6671999999999</v>
      </c>
      <c r="BQ31" s="388">
        <f t="shared" si="13"/>
        <v>839.05119999999999</v>
      </c>
      <c r="BR31" s="388">
        <f t="shared" si="14"/>
        <v>6469.3740799999996</v>
      </c>
      <c r="BS31" s="388">
        <f t="shared" si="15"/>
        <v>417.21097600000002</v>
      </c>
      <c r="BT31" s="388">
        <f t="shared" si="16"/>
        <v>0</v>
      </c>
      <c r="BU31" s="388">
        <f t="shared" si="17"/>
        <v>320.28609599999999</v>
      </c>
      <c r="BV31" s="388">
        <f t="shared" si="18"/>
        <v>352.98016000000001</v>
      </c>
      <c r="BW31" s="388">
        <f t="shared" si="19"/>
        <v>0</v>
      </c>
      <c r="BX31" s="388">
        <f t="shared" si="34"/>
        <v>11986.569711999999</v>
      </c>
      <c r="BY31" s="388">
        <f t="shared" si="35"/>
        <v>0</v>
      </c>
      <c r="BZ31" s="388">
        <f t="shared" si="36"/>
        <v>1250</v>
      </c>
      <c r="CA31" s="388">
        <f t="shared" si="37"/>
        <v>0</v>
      </c>
      <c r="CB31" s="388">
        <f t="shared" si="38"/>
        <v>0</v>
      </c>
      <c r="CC31" s="388">
        <f t="shared" si="20"/>
        <v>0</v>
      </c>
      <c r="CD31" s="388">
        <f t="shared" si="21"/>
        <v>-439.77856000000054</v>
      </c>
      <c r="CE31" s="388">
        <f t="shared" si="22"/>
        <v>0</v>
      </c>
      <c r="CF31" s="388">
        <f t="shared" si="23"/>
        <v>0</v>
      </c>
      <c r="CG31" s="388">
        <f t="shared" si="24"/>
        <v>0</v>
      </c>
      <c r="CH31" s="388">
        <f t="shared" si="25"/>
        <v>5.7865600000000148</v>
      </c>
      <c r="CI31" s="388">
        <f t="shared" si="26"/>
        <v>0</v>
      </c>
      <c r="CJ31" s="388">
        <f t="shared" si="39"/>
        <v>-433.99200000000053</v>
      </c>
      <c r="CK31" s="388" t="str">
        <f t="shared" si="40"/>
        <v/>
      </c>
      <c r="CL31" s="388" t="str">
        <f t="shared" si="41"/>
        <v/>
      </c>
      <c r="CM31" s="388" t="str">
        <f t="shared" si="42"/>
        <v/>
      </c>
      <c r="CN31" s="388" t="str">
        <f t="shared" si="43"/>
        <v>0229-20</v>
      </c>
    </row>
    <row r="32" spans="1:92" ht="15.75" thickBot="1">
      <c r="A32" s="377" t="s">
        <v>162</v>
      </c>
      <c r="B32" s="377" t="s">
        <v>163</v>
      </c>
      <c r="C32" s="377" t="s">
        <v>330</v>
      </c>
      <c r="D32" s="377" t="s">
        <v>263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169</v>
      </c>
      <c r="K32" s="377" t="s">
        <v>264</v>
      </c>
      <c r="L32" s="377" t="s">
        <v>182</v>
      </c>
      <c r="M32" s="377" t="s">
        <v>172</v>
      </c>
      <c r="N32" s="377" t="s">
        <v>173</v>
      </c>
      <c r="O32" s="380">
        <v>1</v>
      </c>
      <c r="P32" s="386">
        <v>1</v>
      </c>
      <c r="Q32" s="386">
        <v>1</v>
      </c>
      <c r="R32" s="381">
        <v>80</v>
      </c>
      <c r="S32" s="386">
        <v>1</v>
      </c>
      <c r="T32" s="381">
        <v>72744.289999999994</v>
      </c>
      <c r="U32" s="381">
        <v>0</v>
      </c>
      <c r="V32" s="381">
        <v>27160.63</v>
      </c>
      <c r="W32" s="381">
        <v>73340.800000000003</v>
      </c>
      <c r="X32" s="381">
        <v>28242.57</v>
      </c>
      <c r="Y32" s="381">
        <v>73340.800000000003</v>
      </c>
      <c r="Z32" s="381">
        <v>28942.51</v>
      </c>
      <c r="AA32" s="377" t="s">
        <v>331</v>
      </c>
      <c r="AB32" s="377" t="s">
        <v>332</v>
      </c>
      <c r="AC32" s="377" t="s">
        <v>333</v>
      </c>
      <c r="AD32" s="377" t="s">
        <v>212</v>
      </c>
      <c r="AE32" s="377" t="s">
        <v>264</v>
      </c>
      <c r="AF32" s="377" t="s">
        <v>268</v>
      </c>
      <c r="AG32" s="377" t="s">
        <v>179</v>
      </c>
      <c r="AH32" s="382">
        <v>35.26</v>
      </c>
      <c r="AI32" s="382">
        <v>43564.3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6">
        <v>1</v>
      </c>
      <c r="AQ32" s="386">
        <v>1</v>
      </c>
      <c r="AR32" s="384" t="s">
        <v>184</v>
      </c>
      <c r="AS32" s="388">
        <f t="shared" si="27"/>
        <v>1</v>
      </c>
      <c r="AT32">
        <f t="shared" si="28"/>
        <v>1</v>
      </c>
      <c r="AU32" s="388">
        <f>IF(AT32=0,"",IF(AND(AT32=1,M32="F",SUMIF(C2:C53,C32,AS2:AS53)&lt;=1),SUMIF(C2:C53,C32,AS2:AS53),IF(AND(AT32=1,M32="F",SUMIF(C2:C53,C32,AS2:AS53)&gt;1),1,"")))</f>
        <v>1</v>
      </c>
      <c r="AV32" s="388" t="str">
        <f>IF(AT32=0,"",IF(AND(AT32=3,M32="F",SUMIF(C2:C53,C32,AS2:AS53)&lt;=1),SUMIF(C2:C53,C32,AS2:AS53),IF(AND(AT32=3,M32="F",SUMIF(C2:C53,C32,AS2:AS53)&gt;1),1,"")))</f>
        <v/>
      </c>
      <c r="AW32" s="388">
        <f>SUMIF(C2:C53,C32,O2:O53)</f>
        <v>1</v>
      </c>
      <c r="AX32" s="388">
        <f>IF(AND(M32="F",AS32&lt;&gt;0),SUMIF(C2:C53,C32,W2:W53),0)</f>
        <v>73340.800000000003</v>
      </c>
      <c r="AY32" s="388">
        <f t="shared" si="29"/>
        <v>73340.800000000003</v>
      </c>
      <c r="AZ32" s="388" t="str">
        <f t="shared" si="30"/>
        <v/>
      </c>
      <c r="BA32" s="388">
        <f t="shared" si="31"/>
        <v>0</v>
      </c>
      <c r="BB32" s="388">
        <f t="shared" si="0"/>
        <v>12500</v>
      </c>
      <c r="BC32" s="388">
        <f t="shared" si="1"/>
        <v>0</v>
      </c>
      <c r="BD32" s="388">
        <f t="shared" si="2"/>
        <v>4547.1296000000002</v>
      </c>
      <c r="BE32" s="388">
        <f t="shared" si="3"/>
        <v>1063.4416000000001</v>
      </c>
      <c r="BF32" s="388">
        <f t="shared" si="4"/>
        <v>8756.891520000001</v>
      </c>
      <c r="BG32" s="388">
        <f t="shared" si="5"/>
        <v>528.78716800000007</v>
      </c>
      <c r="BH32" s="388">
        <f t="shared" si="6"/>
        <v>0</v>
      </c>
      <c r="BI32" s="388">
        <f t="shared" si="7"/>
        <v>405.941328</v>
      </c>
      <c r="BJ32" s="388">
        <f t="shared" si="8"/>
        <v>440.04480000000001</v>
      </c>
      <c r="BK32" s="388">
        <f t="shared" si="9"/>
        <v>0</v>
      </c>
      <c r="BL32" s="388">
        <f t="shared" si="32"/>
        <v>15742.236016000003</v>
      </c>
      <c r="BM32" s="388">
        <f t="shared" si="33"/>
        <v>0</v>
      </c>
      <c r="BN32" s="388">
        <f t="shared" si="10"/>
        <v>13750</v>
      </c>
      <c r="BO32" s="388">
        <f t="shared" si="11"/>
        <v>0</v>
      </c>
      <c r="BP32" s="388">
        <f t="shared" si="12"/>
        <v>4547.1296000000002</v>
      </c>
      <c r="BQ32" s="388">
        <f t="shared" si="13"/>
        <v>1063.4416000000001</v>
      </c>
      <c r="BR32" s="388">
        <f t="shared" si="14"/>
        <v>8199.50144</v>
      </c>
      <c r="BS32" s="388">
        <f t="shared" si="15"/>
        <v>528.78716800000007</v>
      </c>
      <c r="BT32" s="388">
        <f t="shared" si="16"/>
        <v>0</v>
      </c>
      <c r="BU32" s="388">
        <f t="shared" si="17"/>
        <v>405.941328</v>
      </c>
      <c r="BV32" s="388">
        <f t="shared" si="18"/>
        <v>447.37888000000004</v>
      </c>
      <c r="BW32" s="388">
        <f t="shared" si="19"/>
        <v>0</v>
      </c>
      <c r="BX32" s="388">
        <f t="shared" si="34"/>
        <v>15192.180016000002</v>
      </c>
      <c r="BY32" s="388">
        <f t="shared" si="35"/>
        <v>0</v>
      </c>
      <c r="BZ32" s="388">
        <f t="shared" si="36"/>
        <v>1250</v>
      </c>
      <c r="CA32" s="388">
        <f t="shared" si="37"/>
        <v>0</v>
      </c>
      <c r="CB32" s="388">
        <f t="shared" si="38"/>
        <v>0</v>
      </c>
      <c r="CC32" s="388">
        <f t="shared" si="20"/>
        <v>0</v>
      </c>
      <c r="CD32" s="388">
        <f t="shared" si="21"/>
        <v>-557.39008000000069</v>
      </c>
      <c r="CE32" s="388">
        <f t="shared" si="22"/>
        <v>0</v>
      </c>
      <c r="CF32" s="388">
        <f t="shared" si="23"/>
        <v>0</v>
      </c>
      <c r="CG32" s="388">
        <f t="shared" si="24"/>
        <v>0</v>
      </c>
      <c r="CH32" s="388">
        <f t="shared" si="25"/>
        <v>7.3340800000000197</v>
      </c>
      <c r="CI32" s="388">
        <f t="shared" si="26"/>
        <v>0</v>
      </c>
      <c r="CJ32" s="388">
        <f t="shared" si="39"/>
        <v>-550.05600000000072</v>
      </c>
      <c r="CK32" s="388" t="str">
        <f t="shared" si="40"/>
        <v/>
      </c>
      <c r="CL32" s="388" t="str">
        <f t="shared" si="41"/>
        <v/>
      </c>
      <c r="CM32" s="388" t="str">
        <f t="shared" si="42"/>
        <v/>
      </c>
      <c r="CN32" s="388" t="str">
        <f t="shared" si="43"/>
        <v>0229-20</v>
      </c>
    </row>
    <row r="33" spans="1:92" ht="15.75" thickBot="1">
      <c r="A33" s="377" t="s">
        <v>162</v>
      </c>
      <c r="B33" s="377" t="s">
        <v>163</v>
      </c>
      <c r="C33" s="377" t="s">
        <v>334</v>
      </c>
      <c r="D33" s="377" t="s">
        <v>335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336</v>
      </c>
      <c r="L33" s="377" t="s">
        <v>249</v>
      </c>
      <c r="M33" s="377" t="s">
        <v>172</v>
      </c>
      <c r="N33" s="377" t="s">
        <v>254</v>
      </c>
      <c r="O33" s="380">
        <v>1</v>
      </c>
      <c r="P33" s="386">
        <v>1</v>
      </c>
      <c r="Q33" s="386">
        <v>1</v>
      </c>
      <c r="R33" s="381">
        <v>80</v>
      </c>
      <c r="S33" s="386">
        <v>1</v>
      </c>
      <c r="T33" s="381">
        <v>72295.44</v>
      </c>
      <c r="U33" s="381">
        <v>0</v>
      </c>
      <c r="V33" s="381">
        <v>26689.26</v>
      </c>
      <c r="W33" s="381">
        <v>68432</v>
      </c>
      <c r="X33" s="381">
        <v>26809.8</v>
      </c>
      <c r="Y33" s="381">
        <v>68432</v>
      </c>
      <c r="Z33" s="381">
        <v>27546.55</v>
      </c>
      <c r="AA33" s="377" t="s">
        <v>337</v>
      </c>
      <c r="AB33" s="377" t="s">
        <v>338</v>
      </c>
      <c r="AC33" s="377" t="s">
        <v>339</v>
      </c>
      <c r="AD33" s="377" t="s">
        <v>181</v>
      </c>
      <c r="AE33" s="377" t="s">
        <v>336</v>
      </c>
      <c r="AF33" s="377" t="s">
        <v>259</v>
      </c>
      <c r="AG33" s="377" t="s">
        <v>179</v>
      </c>
      <c r="AH33" s="382">
        <v>32.9</v>
      </c>
      <c r="AI33" s="382">
        <v>5280.7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6">
        <v>1</v>
      </c>
      <c r="AQ33" s="386">
        <v>1</v>
      </c>
      <c r="AR33" s="384" t="s">
        <v>184</v>
      </c>
      <c r="AS33" s="388">
        <f t="shared" si="27"/>
        <v>1</v>
      </c>
      <c r="AT33">
        <f t="shared" si="28"/>
        <v>1</v>
      </c>
      <c r="AU33" s="388">
        <f>IF(AT33=0,"",IF(AND(AT33=1,M33="F",SUMIF(C2:C53,C33,AS2:AS53)&lt;=1),SUMIF(C2:C53,C33,AS2:AS53),IF(AND(AT33=1,M33="F",SUMIF(C2:C53,C33,AS2:AS53)&gt;1),1,"")))</f>
        <v>1</v>
      </c>
      <c r="AV33" s="388" t="str">
        <f>IF(AT33=0,"",IF(AND(AT33=3,M33="F",SUMIF(C2:C53,C33,AS2:AS53)&lt;=1),SUMIF(C2:C53,C33,AS2:AS53),IF(AND(AT33=3,M33="F",SUMIF(C2:C53,C33,AS2:AS53)&gt;1),1,"")))</f>
        <v/>
      </c>
      <c r="AW33" s="388">
        <f>SUMIF(C2:C53,C33,O2:O53)</f>
        <v>1</v>
      </c>
      <c r="AX33" s="388">
        <f>IF(AND(M33="F",AS33&lt;&gt;0),SUMIF(C2:C53,C33,W2:W53),0)</f>
        <v>68432</v>
      </c>
      <c r="AY33" s="388">
        <f t="shared" si="29"/>
        <v>68432</v>
      </c>
      <c r="AZ33" s="388" t="str">
        <f t="shared" si="30"/>
        <v/>
      </c>
      <c r="BA33" s="388">
        <f t="shared" si="31"/>
        <v>0</v>
      </c>
      <c r="BB33" s="388">
        <f t="shared" si="0"/>
        <v>12500</v>
      </c>
      <c r="BC33" s="388">
        <f t="shared" si="1"/>
        <v>0</v>
      </c>
      <c r="BD33" s="388">
        <f t="shared" si="2"/>
        <v>4242.7839999999997</v>
      </c>
      <c r="BE33" s="388">
        <f t="shared" si="3"/>
        <v>992.26400000000001</v>
      </c>
      <c r="BF33" s="388">
        <f t="shared" si="4"/>
        <v>8170.7808000000005</v>
      </c>
      <c r="BG33" s="388">
        <f t="shared" si="5"/>
        <v>493.39472000000001</v>
      </c>
      <c r="BH33" s="388">
        <f t="shared" si="6"/>
        <v>0</v>
      </c>
      <c r="BI33" s="388">
        <f t="shared" si="7"/>
        <v>0</v>
      </c>
      <c r="BJ33" s="388">
        <f t="shared" si="8"/>
        <v>410.59199999999998</v>
      </c>
      <c r="BK33" s="388">
        <f t="shared" si="9"/>
        <v>0</v>
      </c>
      <c r="BL33" s="388">
        <f t="shared" si="32"/>
        <v>14309.81552</v>
      </c>
      <c r="BM33" s="388">
        <f t="shared" si="33"/>
        <v>0</v>
      </c>
      <c r="BN33" s="388">
        <f t="shared" si="10"/>
        <v>13750</v>
      </c>
      <c r="BO33" s="388">
        <f t="shared" si="11"/>
        <v>0</v>
      </c>
      <c r="BP33" s="388">
        <f t="shared" si="12"/>
        <v>4242.7839999999997</v>
      </c>
      <c r="BQ33" s="388">
        <f t="shared" si="13"/>
        <v>992.26400000000001</v>
      </c>
      <c r="BR33" s="388">
        <f t="shared" si="14"/>
        <v>7650.6975999999995</v>
      </c>
      <c r="BS33" s="388">
        <f t="shared" si="15"/>
        <v>493.39472000000001</v>
      </c>
      <c r="BT33" s="388">
        <f t="shared" si="16"/>
        <v>0</v>
      </c>
      <c r="BU33" s="388">
        <f t="shared" si="17"/>
        <v>0</v>
      </c>
      <c r="BV33" s="388">
        <f t="shared" si="18"/>
        <v>417.43520000000001</v>
      </c>
      <c r="BW33" s="388">
        <f t="shared" si="19"/>
        <v>0</v>
      </c>
      <c r="BX33" s="388">
        <f t="shared" si="34"/>
        <v>13796.575519999999</v>
      </c>
      <c r="BY33" s="388">
        <f t="shared" si="35"/>
        <v>0</v>
      </c>
      <c r="BZ33" s="388">
        <f t="shared" si="36"/>
        <v>1250</v>
      </c>
      <c r="CA33" s="388">
        <f t="shared" si="37"/>
        <v>0</v>
      </c>
      <c r="CB33" s="388">
        <f t="shared" si="38"/>
        <v>0</v>
      </c>
      <c r="CC33" s="388">
        <f t="shared" si="20"/>
        <v>0</v>
      </c>
      <c r="CD33" s="388">
        <f t="shared" si="21"/>
        <v>-520.0832000000006</v>
      </c>
      <c r="CE33" s="388">
        <f t="shared" si="22"/>
        <v>0</v>
      </c>
      <c r="CF33" s="388">
        <f t="shared" si="23"/>
        <v>0</v>
      </c>
      <c r="CG33" s="388">
        <f t="shared" si="24"/>
        <v>0</v>
      </c>
      <c r="CH33" s="388">
        <f t="shared" si="25"/>
        <v>6.8432000000000182</v>
      </c>
      <c r="CI33" s="388">
        <f t="shared" si="26"/>
        <v>0</v>
      </c>
      <c r="CJ33" s="388">
        <f t="shared" si="39"/>
        <v>-513.24000000000058</v>
      </c>
      <c r="CK33" s="388" t="str">
        <f t="shared" si="40"/>
        <v/>
      </c>
      <c r="CL33" s="388" t="str">
        <f t="shared" si="41"/>
        <v/>
      </c>
      <c r="CM33" s="388" t="str">
        <f t="shared" si="42"/>
        <v/>
      </c>
      <c r="CN33" s="388" t="str">
        <f t="shared" si="43"/>
        <v>0229-20</v>
      </c>
    </row>
    <row r="34" spans="1:92" ht="15.75" thickBot="1">
      <c r="A34" s="377" t="s">
        <v>162</v>
      </c>
      <c r="B34" s="377" t="s">
        <v>163</v>
      </c>
      <c r="C34" s="377" t="s">
        <v>340</v>
      </c>
      <c r="D34" s="377" t="s">
        <v>241</v>
      </c>
      <c r="E34" s="377" t="s">
        <v>166</v>
      </c>
      <c r="F34" s="378" t="s">
        <v>167</v>
      </c>
      <c r="G34" s="377" t="s">
        <v>168</v>
      </c>
      <c r="H34" s="379"/>
      <c r="I34" s="379"/>
      <c r="J34" s="377" t="s">
        <v>169</v>
      </c>
      <c r="K34" s="377" t="s">
        <v>242</v>
      </c>
      <c r="L34" s="377" t="s">
        <v>212</v>
      </c>
      <c r="M34" s="377" t="s">
        <v>172</v>
      </c>
      <c r="N34" s="377" t="s">
        <v>173</v>
      </c>
      <c r="O34" s="380">
        <v>1</v>
      </c>
      <c r="P34" s="386">
        <v>1</v>
      </c>
      <c r="Q34" s="386">
        <v>1</v>
      </c>
      <c r="R34" s="381">
        <v>80</v>
      </c>
      <c r="S34" s="386">
        <v>1</v>
      </c>
      <c r="T34" s="381">
        <v>21626.799999999999</v>
      </c>
      <c r="U34" s="381">
        <v>0</v>
      </c>
      <c r="V34" s="381">
        <v>10022.780000000001</v>
      </c>
      <c r="W34" s="381">
        <v>55702.400000000001</v>
      </c>
      <c r="X34" s="381">
        <v>24456.49</v>
      </c>
      <c r="Y34" s="381">
        <v>55702.400000000001</v>
      </c>
      <c r="Z34" s="381">
        <v>25288.720000000001</v>
      </c>
      <c r="AA34" s="377" t="s">
        <v>341</v>
      </c>
      <c r="AB34" s="377" t="s">
        <v>342</v>
      </c>
      <c r="AC34" s="377" t="s">
        <v>343</v>
      </c>
      <c r="AD34" s="377" t="s">
        <v>223</v>
      </c>
      <c r="AE34" s="377" t="s">
        <v>242</v>
      </c>
      <c r="AF34" s="377" t="s">
        <v>217</v>
      </c>
      <c r="AG34" s="377" t="s">
        <v>179</v>
      </c>
      <c r="AH34" s="382">
        <v>26.78</v>
      </c>
      <c r="AI34" s="382">
        <v>671.8</v>
      </c>
      <c r="AJ34" s="377" t="s">
        <v>180</v>
      </c>
      <c r="AK34" s="377" t="s">
        <v>181</v>
      </c>
      <c r="AL34" s="377" t="s">
        <v>182</v>
      </c>
      <c r="AM34" s="377" t="s">
        <v>183</v>
      </c>
      <c r="AN34" s="377" t="s">
        <v>66</v>
      </c>
      <c r="AO34" s="380">
        <v>80</v>
      </c>
      <c r="AP34" s="386">
        <v>1</v>
      </c>
      <c r="AQ34" s="386">
        <v>1</v>
      </c>
      <c r="AR34" s="384" t="s">
        <v>184</v>
      </c>
      <c r="AS34" s="388">
        <f t="shared" si="27"/>
        <v>1</v>
      </c>
      <c r="AT34">
        <f t="shared" si="28"/>
        <v>1</v>
      </c>
      <c r="AU34" s="388">
        <f>IF(AT34=0,"",IF(AND(AT34=1,M34="F",SUMIF(C2:C53,C34,AS2:AS53)&lt;=1),SUMIF(C2:C53,C34,AS2:AS53),IF(AND(AT34=1,M34="F",SUMIF(C2:C53,C34,AS2:AS53)&gt;1),1,"")))</f>
        <v>1</v>
      </c>
      <c r="AV34" s="388" t="str">
        <f>IF(AT34=0,"",IF(AND(AT34=3,M34="F",SUMIF(C2:C53,C34,AS2:AS53)&lt;=1),SUMIF(C2:C53,C34,AS2:AS53),IF(AND(AT34=3,M34="F",SUMIF(C2:C53,C34,AS2:AS53)&gt;1),1,"")))</f>
        <v/>
      </c>
      <c r="AW34" s="388">
        <f>SUMIF(C2:C53,C34,O2:O53)</f>
        <v>2</v>
      </c>
      <c r="AX34" s="388">
        <f>IF(AND(M34="F",AS34&lt;&gt;0),SUMIF(C2:C53,C34,W2:W53),0)</f>
        <v>55702.400000000001</v>
      </c>
      <c r="AY34" s="388">
        <f t="shared" si="29"/>
        <v>55702.400000000001</v>
      </c>
      <c r="AZ34" s="388" t="str">
        <f t="shared" si="30"/>
        <v/>
      </c>
      <c r="BA34" s="388">
        <f t="shared" si="31"/>
        <v>0</v>
      </c>
      <c r="BB34" s="388">
        <f t="shared" ref="BB34:BB53" si="44">IF(AND(AT34=1,AK34="E",AU34&gt;=0.75,AW34=1),Health,IF(AND(AT34=1,AK34="E",AU34&gt;=0.75),Health*P34,IF(AND(AT34=1,AK34="E",AU34&gt;=0.5,AW34=1),PTHealth,IF(AND(AT34=1,AK34="E",AU34&gt;=0.5),PTHealth*P34,0))))</f>
        <v>12500</v>
      </c>
      <c r="BC34" s="388">
        <f t="shared" ref="BC34:BC53" si="45">IF(AND(AT34=3,AK34="E",AV34&gt;=0.75,AW34=1),Health,IF(AND(AT34=3,AK34="E",AV34&gt;=0.75),Health*P34,IF(AND(AT34=3,AK34="E",AV34&gt;=0.5,AW34=1),PTHealth,IF(AND(AT34=3,AK34="E",AV34&gt;=0.5),PTHealth*P34,0))))</f>
        <v>0</v>
      </c>
      <c r="BD34" s="388">
        <f t="shared" ref="BD34:BD53" si="46">IF(AND(AT34&lt;&gt;0,AX34&gt;=MAXSSDI),SSDI*MAXSSDI*P34,IF(AT34&lt;&gt;0,SSDI*W34,0))</f>
        <v>3453.5488</v>
      </c>
      <c r="BE34" s="388">
        <f t="shared" ref="BE34:BE53" si="47">IF(AT34&lt;&gt;0,SSHI*W34,0)</f>
        <v>807.68480000000011</v>
      </c>
      <c r="BF34" s="388">
        <f t="shared" ref="BF34:BF53" si="48">IF(AND(AT34&lt;&gt;0,AN34&lt;&gt;"NE"),VLOOKUP(AN34,Retirement_Rates,3,FALSE)*W34,0)</f>
        <v>6650.8665600000004</v>
      </c>
      <c r="BG34" s="388">
        <f t="shared" ref="BG34:BG53" si="49">IF(AND(AT34&lt;&gt;0,AJ34&lt;&gt;"PF"),Life*W34,0)</f>
        <v>401.614304</v>
      </c>
      <c r="BH34" s="388">
        <f t="shared" ref="BH34:BH53" si="50">IF(AND(AT34&lt;&gt;0,AM34="Y"),UI*W34,0)</f>
        <v>0</v>
      </c>
      <c r="BI34" s="388">
        <f t="shared" ref="BI34:BI53" si="51">IF(AND(AT34&lt;&gt;0,N34&lt;&gt;"NR"),DHR*W34,0)</f>
        <v>308.31278400000002</v>
      </c>
      <c r="BJ34" s="388">
        <f t="shared" ref="BJ34:BJ53" si="52">IF(AT34&lt;&gt;0,WC*W34,0)</f>
        <v>334.21440000000001</v>
      </c>
      <c r="BK34" s="388">
        <f t="shared" ref="BK34:BK53" si="53">IF(OR(AND(AT34&lt;&gt;0,AJ34&lt;&gt;"PF",AN34&lt;&gt;"NE",AG34&lt;&gt;"A"),AND(AL34="E",OR(AT34=1,AT34=3))),Sick*W34,0)</f>
        <v>0</v>
      </c>
      <c r="BL34" s="388">
        <f t="shared" si="32"/>
        <v>11956.241648000003</v>
      </c>
      <c r="BM34" s="388">
        <f t="shared" si="33"/>
        <v>0</v>
      </c>
      <c r="BN34" s="388">
        <f t="shared" ref="BN34:BN53" si="54">IF(AND(AT34=1,AK34="E",AU34&gt;=0.75,AW34=1),HealthBY,IF(AND(AT34=1,AK34="E",AU34&gt;=0.75),HealthBY*P34,IF(AND(AT34=1,AK34="E",AU34&gt;=0.5,AW34=1),PTHealthBY,IF(AND(AT34=1,AK34="E",AU34&gt;=0.5),PTHealthBY*P34,0))))</f>
        <v>13750</v>
      </c>
      <c r="BO34" s="388">
        <f t="shared" ref="BO34:BO53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8">
        <f t="shared" ref="BP34:BP53" si="56">IF(AND(AT34&lt;&gt;0,(AX34+BA34)&gt;=MAXSSDIBY),SSDIBY*MAXSSDIBY*P34,IF(AT34&lt;&gt;0,SSDIBY*W34,0))</f>
        <v>3453.5488</v>
      </c>
      <c r="BQ34" s="388">
        <f t="shared" ref="BQ34:BQ53" si="57">IF(AT34&lt;&gt;0,SSHIBY*W34,0)</f>
        <v>807.68480000000011</v>
      </c>
      <c r="BR34" s="388">
        <f t="shared" ref="BR34:BR53" si="58">IF(AND(AT34&lt;&gt;0,AN34&lt;&gt;"NE"),VLOOKUP(AN34,Retirement_Rates,4,FALSE)*W34,0)</f>
        <v>6227.5283200000003</v>
      </c>
      <c r="BS34" s="388">
        <f t="shared" ref="BS34:BS53" si="59">IF(AND(AT34&lt;&gt;0,AJ34&lt;&gt;"PF"),LifeBY*W34,0)</f>
        <v>401.614304</v>
      </c>
      <c r="BT34" s="388">
        <f t="shared" ref="BT34:BT53" si="60">IF(AND(AT34&lt;&gt;0,AM34="Y"),UIBY*W34,0)</f>
        <v>0</v>
      </c>
      <c r="BU34" s="388">
        <f t="shared" ref="BU34:BU53" si="61">IF(AND(AT34&lt;&gt;0,N34&lt;&gt;"NR"),DHRBY*W34,0)</f>
        <v>308.31278400000002</v>
      </c>
      <c r="BV34" s="388">
        <f t="shared" ref="BV34:BV53" si="62">IF(AT34&lt;&gt;0,WCBY*W34,0)</f>
        <v>339.78464000000002</v>
      </c>
      <c r="BW34" s="388">
        <f t="shared" ref="BW34:BW53" si="63">IF(OR(AND(AT34&lt;&gt;0,AJ34&lt;&gt;"PF",AN34&lt;&gt;"NE",AG34&lt;&gt;"A"),AND(AL34="E",OR(AT34=1,AT34=3))),SickBY*W34,0)</f>
        <v>0</v>
      </c>
      <c r="BX34" s="388">
        <f t="shared" si="34"/>
        <v>11538.473648000001</v>
      </c>
      <c r="BY34" s="388">
        <f t="shared" si="35"/>
        <v>0</v>
      </c>
      <c r="BZ34" s="388">
        <f t="shared" si="36"/>
        <v>1250</v>
      </c>
      <c r="CA34" s="388">
        <f t="shared" si="37"/>
        <v>0</v>
      </c>
      <c r="CB34" s="388">
        <f t="shared" si="38"/>
        <v>0</v>
      </c>
      <c r="CC34" s="388">
        <f t="shared" ref="CC34:CC53" si="64">IF(AT34&lt;&gt;0,SSHICHG*Y34,0)</f>
        <v>0</v>
      </c>
      <c r="CD34" s="388">
        <f t="shared" ref="CD34:CD53" si="65">IF(AND(AT34&lt;&gt;0,AN34&lt;&gt;"NE"),VLOOKUP(AN34,Retirement_Rates,5,FALSE)*Y34,0)</f>
        <v>-423.33824000000055</v>
      </c>
      <c r="CE34" s="388">
        <f t="shared" ref="CE34:CE53" si="66">IF(AND(AT34&lt;&gt;0,AJ34&lt;&gt;"PF"),LifeCHG*Y34,0)</f>
        <v>0</v>
      </c>
      <c r="CF34" s="388">
        <f t="shared" ref="CF34:CF53" si="67">IF(AND(AT34&lt;&gt;0,AM34="Y"),UICHG*Y34,0)</f>
        <v>0</v>
      </c>
      <c r="CG34" s="388">
        <f t="shared" ref="CG34:CG53" si="68">IF(AND(AT34&lt;&gt;0,N34&lt;&gt;"NR"),DHRCHG*Y34,0)</f>
        <v>0</v>
      </c>
      <c r="CH34" s="388">
        <f t="shared" ref="CH34:CH53" si="69">IF(AT34&lt;&gt;0,WCCHG*Y34,0)</f>
        <v>5.5702400000000152</v>
      </c>
      <c r="CI34" s="388">
        <f t="shared" ref="CI34:CI53" si="70">IF(OR(AND(AT34&lt;&gt;0,AJ34&lt;&gt;"PF",AN34&lt;&gt;"NE",AG34&lt;&gt;"A"),AND(AL34="E",OR(AT34=1,AT34=3))),SickCHG*Y34,0)</f>
        <v>0</v>
      </c>
      <c r="CJ34" s="388">
        <f t="shared" si="39"/>
        <v>-417.76800000000054</v>
      </c>
      <c r="CK34" s="388" t="str">
        <f t="shared" si="40"/>
        <v/>
      </c>
      <c r="CL34" s="388" t="str">
        <f t="shared" si="41"/>
        <v/>
      </c>
      <c r="CM34" s="388" t="str">
        <f t="shared" si="42"/>
        <v/>
      </c>
      <c r="CN34" s="388" t="str">
        <f t="shared" si="43"/>
        <v>0229-20</v>
      </c>
    </row>
    <row r="35" spans="1:92" ht="15.75" thickBot="1">
      <c r="A35" s="377" t="s">
        <v>162</v>
      </c>
      <c r="B35" s="377" t="s">
        <v>163</v>
      </c>
      <c r="C35" s="377" t="s">
        <v>344</v>
      </c>
      <c r="D35" s="377" t="s">
        <v>303</v>
      </c>
      <c r="E35" s="377" t="s">
        <v>166</v>
      </c>
      <c r="F35" s="378" t="s">
        <v>167</v>
      </c>
      <c r="G35" s="377" t="s">
        <v>168</v>
      </c>
      <c r="H35" s="379"/>
      <c r="I35" s="379"/>
      <c r="J35" s="377" t="s">
        <v>169</v>
      </c>
      <c r="K35" s="377" t="s">
        <v>304</v>
      </c>
      <c r="L35" s="377" t="s">
        <v>249</v>
      </c>
      <c r="M35" s="377" t="s">
        <v>172</v>
      </c>
      <c r="N35" s="377" t="s">
        <v>254</v>
      </c>
      <c r="O35" s="380">
        <v>1</v>
      </c>
      <c r="P35" s="386">
        <v>1</v>
      </c>
      <c r="Q35" s="386">
        <v>1</v>
      </c>
      <c r="R35" s="381">
        <v>80</v>
      </c>
      <c r="S35" s="386">
        <v>1</v>
      </c>
      <c r="T35" s="381">
        <v>63368</v>
      </c>
      <c r="U35" s="381">
        <v>0</v>
      </c>
      <c r="V35" s="381">
        <v>25046.74</v>
      </c>
      <c r="W35" s="381">
        <v>67184</v>
      </c>
      <c r="X35" s="381">
        <v>26548.81</v>
      </c>
      <c r="Y35" s="381">
        <v>67184</v>
      </c>
      <c r="Z35" s="381">
        <v>27294.94</v>
      </c>
      <c r="AA35" s="377" t="s">
        <v>345</v>
      </c>
      <c r="AB35" s="377" t="s">
        <v>346</v>
      </c>
      <c r="AC35" s="377" t="s">
        <v>347</v>
      </c>
      <c r="AD35" s="377" t="s">
        <v>348</v>
      </c>
      <c r="AE35" s="377" t="s">
        <v>304</v>
      </c>
      <c r="AF35" s="377" t="s">
        <v>259</v>
      </c>
      <c r="AG35" s="377" t="s">
        <v>179</v>
      </c>
      <c r="AH35" s="382">
        <v>32.299999999999997</v>
      </c>
      <c r="AI35" s="380">
        <v>30452</v>
      </c>
      <c r="AJ35" s="377" t="s">
        <v>180</v>
      </c>
      <c r="AK35" s="377" t="s">
        <v>181</v>
      </c>
      <c r="AL35" s="377" t="s">
        <v>182</v>
      </c>
      <c r="AM35" s="377" t="s">
        <v>183</v>
      </c>
      <c r="AN35" s="377" t="s">
        <v>66</v>
      </c>
      <c r="AO35" s="380">
        <v>80</v>
      </c>
      <c r="AP35" s="386">
        <v>1</v>
      </c>
      <c r="AQ35" s="386">
        <v>1</v>
      </c>
      <c r="AR35" s="384" t="s">
        <v>184</v>
      </c>
      <c r="AS35" s="388">
        <f t="shared" si="27"/>
        <v>1</v>
      </c>
      <c r="AT35">
        <f t="shared" si="28"/>
        <v>1</v>
      </c>
      <c r="AU35" s="388">
        <f>IF(AT35=0,"",IF(AND(AT35=1,M35="F",SUMIF(C2:C53,C35,AS2:AS53)&lt;=1),SUMIF(C2:C53,C35,AS2:AS53),IF(AND(AT35=1,M35="F",SUMIF(C2:C53,C35,AS2:AS53)&gt;1),1,"")))</f>
        <v>1</v>
      </c>
      <c r="AV35" s="388" t="str">
        <f>IF(AT35=0,"",IF(AND(AT35=3,M35="F",SUMIF(C2:C53,C35,AS2:AS53)&lt;=1),SUMIF(C2:C53,C35,AS2:AS53),IF(AND(AT35=3,M35="F",SUMIF(C2:C53,C35,AS2:AS53)&gt;1),1,"")))</f>
        <v/>
      </c>
      <c r="AW35" s="388">
        <f>SUMIF(C2:C53,C35,O2:O53)</f>
        <v>1</v>
      </c>
      <c r="AX35" s="388">
        <f>IF(AND(M35="F",AS35&lt;&gt;0),SUMIF(C2:C53,C35,W2:W53),0)</f>
        <v>67184</v>
      </c>
      <c r="AY35" s="388">
        <f t="shared" si="29"/>
        <v>67184</v>
      </c>
      <c r="AZ35" s="388" t="str">
        <f t="shared" si="30"/>
        <v/>
      </c>
      <c r="BA35" s="388">
        <f t="shared" si="31"/>
        <v>0</v>
      </c>
      <c r="BB35" s="388">
        <f t="shared" si="44"/>
        <v>12500</v>
      </c>
      <c r="BC35" s="388">
        <f t="shared" si="45"/>
        <v>0</v>
      </c>
      <c r="BD35" s="388">
        <f t="shared" si="46"/>
        <v>4165.4080000000004</v>
      </c>
      <c r="BE35" s="388">
        <f t="shared" si="47"/>
        <v>974.16800000000001</v>
      </c>
      <c r="BF35" s="388">
        <f t="shared" si="48"/>
        <v>8021.7696000000005</v>
      </c>
      <c r="BG35" s="388">
        <f t="shared" si="49"/>
        <v>484.39663999999999</v>
      </c>
      <c r="BH35" s="388">
        <f t="shared" si="50"/>
        <v>0</v>
      </c>
      <c r="BI35" s="388">
        <f t="shared" si="51"/>
        <v>0</v>
      </c>
      <c r="BJ35" s="388">
        <f t="shared" si="52"/>
        <v>403.10399999999998</v>
      </c>
      <c r="BK35" s="388">
        <f t="shared" si="53"/>
        <v>0</v>
      </c>
      <c r="BL35" s="388">
        <f t="shared" si="32"/>
        <v>14048.846240000001</v>
      </c>
      <c r="BM35" s="388">
        <f t="shared" si="33"/>
        <v>0</v>
      </c>
      <c r="BN35" s="388">
        <f t="shared" si="54"/>
        <v>13750</v>
      </c>
      <c r="BO35" s="388">
        <f t="shared" si="55"/>
        <v>0</v>
      </c>
      <c r="BP35" s="388">
        <f t="shared" si="56"/>
        <v>4165.4080000000004</v>
      </c>
      <c r="BQ35" s="388">
        <f t="shared" si="57"/>
        <v>974.16800000000001</v>
      </c>
      <c r="BR35" s="388">
        <f t="shared" si="58"/>
        <v>7511.1711999999998</v>
      </c>
      <c r="BS35" s="388">
        <f t="shared" si="59"/>
        <v>484.39663999999999</v>
      </c>
      <c r="BT35" s="388">
        <f t="shared" si="60"/>
        <v>0</v>
      </c>
      <c r="BU35" s="388">
        <f t="shared" si="61"/>
        <v>0</v>
      </c>
      <c r="BV35" s="388">
        <f t="shared" si="62"/>
        <v>409.82240000000002</v>
      </c>
      <c r="BW35" s="388">
        <f t="shared" si="63"/>
        <v>0</v>
      </c>
      <c r="BX35" s="388">
        <f t="shared" si="34"/>
        <v>13544.966240000002</v>
      </c>
      <c r="BY35" s="388">
        <f t="shared" si="35"/>
        <v>0</v>
      </c>
      <c r="BZ35" s="388">
        <f t="shared" si="36"/>
        <v>1250</v>
      </c>
      <c r="CA35" s="388">
        <f t="shared" si="37"/>
        <v>0</v>
      </c>
      <c r="CB35" s="388">
        <f t="shared" si="38"/>
        <v>0</v>
      </c>
      <c r="CC35" s="388">
        <f t="shared" si="64"/>
        <v>0</v>
      </c>
      <c r="CD35" s="388">
        <f t="shared" si="65"/>
        <v>-510.59840000000065</v>
      </c>
      <c r="CE35" s="388">
        <f t="shared" si="66"/>
        <v>0</v>
      </c>
      <c r="CF35" s="388">
        <f t="shared" si="67"/>
        <v>0</v>
      </c>
      <c r="CG35" s="388">
        <f t="shared" si="68"/>
        <v>0</v>
      </c>
      <c r="CH35" s="388">
        <f t="shared" si="69"/>
        <v>6.7184000000000177</v>
      </c>
      <c r="CI35" s="388">
        <f t="shared" si="70"/>
        <v>0</v>
      </c>
      <c r="CJ35" s="388">
        <f t="shared" si="39"/>
        <v>-503.88000000000062</v>
      </c>
      <c r="CK35" s="388" t="str">
        <f t="shared" si="40"/>
        <v/>
      </c>
      <c r="CL35" s="388" t="str">
        <f t="shared" si="41"/>
        <v/>
      </c>
      <c r="CM35" s="388" t="str">
        <f t="shared" si="42"/>
        <v/>
      </c>
      <c r="CN35" s="388" t="str">
        <f t="shared" si="43"/>
        <v>0229-20</v>
      </c>
    </row>
    <row r="36" spans="1:92" ht="15.75" thickBot="1">
      <c r="A36" s="377" t="s">
        <v>162</v>
      </c>
      <c r="B36" s="377" t="s">
        <v>163</v>
      </c>
      <c r="C36" s="377" t="s">
        <v>349</v>
      </c>
      <c r="D36" s="377" t="s">
        <v>241</v>
      </c>
      <c r="E36" s="377" t="s">
        <v>166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350</v>
      </c>
      <c r="L36" s="377" t="s">
        <v>188</v>
      </c>
      <c r="M36" s="377" t="s">
        <v>172</v>
      </c>
      <c r="N36" s="377" t="s">
        <v>173</v>
      </c>
      <c r="O36" s="380">
        <v>1</v>
      </c>
      <c r="P36" s="386">
        <v>1</v>
      </c>
      <c r="Q36" s="386">
        <v>1</v>
      </c>
      <c r="R36" s="381">
        <v>80</v>
      </c>
      <c r="S36" s="386">
        <v>1</v>
      </c>
      <c r="T36" s="381">
        <v>21561.52</v>
      </c>
      <c r="U36" s="381">
        <v>0</v>
      </c>
      <c r="V36" s="381">
        <v>8724.75</v>
      </c>
      <c r="W36" s="381">
        <v>75504</v>
      </c>
      <c r="X36" s="381">
        <v>28706.9</v>
      </c>
      <c r="Y36" s="381">
        <v>75504</v>
      </c>
      <c r="Z36" s="381">
        <v>29390.62</v>
      </c>
      <c r="AA36" s="377" t="s">
        <v>351</v>
      </c>
      <c r="AB36" s="377" t="s">
        <v>352</v>
      </c>
      <c r="AC36" s="377" t="s">
        <v>353</v>
      </c>
      <c r="AD36" s="377" t="s">
        <v>181</v>
      </c>
      <c r="AE36" s="377" t="s">
        <v>350</v>
      </c>
      <c r="AF36" s="377" t="s">
        <v>193</v>
      </c>
      <c r="AG36" s="377" t="s">
        <v>179</v>
      </c>
      <c r="AH36" s="382">
        <v>36.299999999999997</v>
      </c>
      <c r="AI36" s="382">
        <v>11820.9</v>
      </c>
      <c r="AJ36" s="377" t="s">
        <v>180</v>
      </c>
      <c r="AK36" s="377" t="s">
        <v>181</v>
      </c>
      <c r="AL36" s="377" t="s">
        <v>182</v>
      </c>
      <c r="AM36" s="377" t="s">
        <v>183</v>
      </c>
      <c r="AN36" s="377" t="s">
        <v>66</v>
      </c>
      <c r="AO36" s="380">
        <v>80</v>
      </c>
      <c r="AP36" s="386">
        <v>1</v>
      </c>
      <c r="AQ36" s="386">
        <v>1</v>
      </c>
      <c r="AR36" s="384" t="s">
        <v>184</v>
      </c>
      <c r="AS36" s="388">
        <f t="shared" si="27"/>
        <v>1</v>
      </c>
      <c r="AT36">
        <f t="shared" si="28"/>
        <v>1</v>
      </c>
      <c r="AU36" s="388">
        <f>IF(AT36=0,"",IF(AND(AT36=1,M36="F",SUMIF(C2:C53,C36,AS2:AS53)&lt;=1),SUMIF(C2:C53,C36,AS2:AS53),IF(AND(AT36=1,M36="F",SUMIF(C2:C53,C36,AS2:AS53)&gt;1),1,"")))</f>
        <v>1</v>
      </c>
      <c r="AV36" s="388" t="str">
        <f>IF(AT36=0,"",IF(AND(AT36=3,M36="F",SUMIF(C2:C53,C36,AS2:AS53)&lt;=1),SUMIF(C2:C53,C36,AS2:AS53),IF(AND(AT36=3,M36="F",SUMIF(C2:C53,C36,AS2:AS53)&gt;1),1,"")))</f>
        <v/>
      </c>
      <c r="AW36" s="388">
        <f>SUMIF(C2:C53,C36,O2:O53)</f>
        <v>2</v>
      </c>
      <c r="AX36" s="388">
        <f>IF(AND(M36="F",AS36&lt;&gt;0),SUMIF(C2:C53,C36,W2:W53),0)</f>
        <v>75504</v>
      </c>
      <c r="AY36" s="388">
        <f t="shared" si="29"/>
        <v>75504</v>
      </c>
      <c r="AZ36" s="388" t="str">
        <f t="shared" si="30"/>
        <v/>
      </c>
      <c r="BA36" s="388">
        <f t="shared" si="31"/>
        <v>0</v>
      </c>
      <c r="BB36" s="388">
        <f t="shared" si="44"/>
        <v>12500</v>
      </c>
      <c r="BC36" s="388">
        <f t="shared" si="45"/>
        <v>0</v>
      </c>
      <c r="BD36" s="388">
        <f t="shared" si="46"/>
        <v>4681.2479999999996</v>
      </c>
      <c r="BE36" s="388">
        <f t="shared" si="47"/>
        <v>1094.808</v>
      </c>
      <c r="BF36" s="388">
        <f t="shared" si="48"/>
        <v>9015.1776000000009</v>
      </c>
      <c r="BG36" s="388">
        <f t="shared" si="49"/>
        <v>544.38383999999996</v>
      </c>
      <c r="BH36" s="388">
        <f t="shared" si="50"/>
        <v>0</v>
      </c>
      <c r="BI36" s="388">
        <f t="shared" si="51"/>
        <v>417.91464000000002</v>
      </c>
      <c r="BJ36" s="388">
        <f t="shared" si="52"/>
        <v>453.024</v>
      </c>
      <c r="BK36" s="388">
        <f t="shared" si="53"/>
        <v>0</v>
      </c>
      <c r="BL36" s="388">
        <f t="shared" si="32"/>
        <v>16206.55608</v>
      </c>
      <c r="BM36" s="388">
        <f t="shared" si="33"/>
        <v>0</v>
      </c>
      <c r="BN36" s="388">
        <f t="shared" si="54"/>
        <v>13750</v>
      </c>
      <c r="BO36" s="388">
        <f t="shared" si="55"/>
        <v>0</v>
      </c>
      <c r="BP36" s="388">
        <f t="shared" si="56"/>
        <v>4681.2479999999996</v>
      </c>
      <c r="BQ36" s="388">
        <f t="shared" si="57"/>
        <v>1094.808</v>
      </c>
      <c r="BR36" s="388">
        <f t="shared" si="58"/>
        <v>8441.3472000000002</v>
      </c>
      <c r="BS36" s="388">
        <f t="shared" si="59"/>
        <v>544.38383999999996</v>
      </c>
      <c r="BT36" s="388">
        <f t="shared" si="60"/>
        <v>0</v>
      </c>
      <c r="BU36" s="388">
        <f t="shared" si="61"/>
        <v>417.91464000000002</v>
      </c>
      <c r="BV36" s="388">
        <f t="shared" si="62"/>
        <v>460.57440000000003</v>
      </c>
      <c r="BW36" s="388">
        <f t="shared" si="63"/>
        <v>0</v>
      </c>
      <c r="BX36" s="388">
        <f t="shared" si="34"/>
        <v>15640.276080000001</v>
      </c>
      <c r="BY36" s="388">
        <f t="shared" si="35"/>
        <v>0</v>
      </c>
      <c r="BZ36" s="388">
        <f t="shared" si="36"/>
        <v>1250</v>
      </c>
      <c r="CA36" s="388">
        <f t="shared" si="37"/>
        <v>0</v>
      </c>
      <c r="CB36" s="388">
        <f t="shared" si="38"/>
        <v>0</v>
      </c>
      <c r="CC36" s="388">
        <f t="shared" si="64"/>
        <v>0</v>
      </c>
      <c r="CD36" s="388">
        <f t="shared" si="65"/>
        <v>-573.83040000000074</v>
      </c>
      <c r="CE36" s="388">
        <f t="shared" si="66"/>
        <v>0</v>
      </c>
      <c r="CF36" s="388">
        <f t="shared" si="67"/>
        <v>0</v>
      </c>
      <c r="CG36" s="388">
        <f t="shared" si="68"/>
        <v>0</v>
      </c>
      <c r="CH36" s="388">
        <f t="shared" si="69"/>
        <v>7.5504000000000202</v>
      </c>
      <c r="CI36" s="388">
        <f t="shared" si="70"/>
        <v>0</v>
      </c>
      <c r="CJ36" s="388">
        <f t="shared" si="39"/>
        <v>-566.28000000000077</v>
      </c>
      <c r="CK36" s="388" t="str">
        <f t="shared" si="40"/>
        <v/>
      </c>
      <c r="CL36" s="388" t="str">
        <f t="shared" si="41"/>
        <v/>
      </c>
      <c r="CM36" s="388" t="str">
        <f t="shared" si="42"/>
        <v/>
      </c>
      <c r="CN36" s="388" t="str">
        <f t="shared" si="43"/>
        <v>0229-20</v>
      </c>
    </row>
    <row r="37" spans="1:92" ht="15.75" thickBot="1">
      <c r="A37" s="377" t="s">
        <v>162</v>
      </c>
      <c r="B37" s="377" t="s">
        <v>163</v>
      </c>
      <c r="C37" s="377" t="s">
        <v>354</v>
      </c>
      <c r="D37" s="377" t="s">
        <v>355</v>
      </c>
      <c r="E37" s="377" t="s">
        <v>166</v>
      </c>
      <c r="F37" s="378" t="s">
        <v>167</v>
      </c>
      <c r="G37" s="377" t="s">
        <v>168</v>
      </c>
      <c r="H37" s="379"/>
      <c r="I37" s="379"/>
      <c r="J37" s="377" t="s">
        <v>169</v>
      </c>
      <c r="K37" s="377" t="s">
        <v>356</v>
      </c>
      <c r="L37" s="377" t="s">
        <v>249</v>
      </c>
      <c r="M37" s="377" t="s">
        <v>172</v>
      </c>
      <c r="N37" s="377" t="s">
        <v>254</v>
      </c>
      <c r="O37" s="380">
        <v>1</v>
      </c>
      <c r="P37" s="386">
        <v>1</v>
      </c>
      <c r="Q37" s="386">
        <v>1</v>
      </c>
      <c r="R37" s="381">
        <v>80</v>
      </c>
      <c r="S37" s="386">
        <v>1</v>
      </c>
      <c r="T37" s="381">
        <v>112317.69</v>
      </c>
      <c r="U37" s="381">
        <v>0</v>
      </c>
      <c r="V37" s="381">
        <v>35057.01</v>
      </c>
      <c r="W37" s="381">
        <v>120246</v>
      </c>
      <c r="X37" s="381">
        <v>37644.620000000003</v>
      </c>
      <c r="Y37" s="381">
        <v>120246</v>
      </c>
      <c r="Z37" s="381">
        <v>37992.78</v>
      </c>
      <c r="AA37" s="377" t="s">
        <v>357</v>
      </c>
      <c r="AB37" s="377" t="s">
        <v>358</v>
      </c>
      <c r="AC37" s="377" t="s">
        <v>359</v>
      </c>
      <c r="AD37" s="377" t="s">
        <v>348</v>
      </c>
      <c r="AE37" s="377" t="s">
        <v>356</v>
      </c>
      <c r="AF37" s="377" t="s">
        <v>259</v>
      </c>
      <c r="AG37" s="377" t="s">
        <v>238</v>
      </c>
      <c r="AH37" s="380">
        <v>120246</v>
      </c>
      <c r="AI37" s="382">
        <v>15201.8</v>
      </c>
      <c r="AJ37" s="377" t="s">
        <v>180</v>
      </c>
      <c r="AK37" s="377" t="s">
        <v>181</v>
      </c>
      <c r="AL37" s="377" t="s">
        <v>182</v>
      </c>
      <c r="AM37" s="377" t="s">
        <v>182</v>
      </c>
      <c r="AN37" s="377" t="s">
        <v>66</v>
      </c>
      <c r="AO37" s="380">
        <v>80</v>
      </c>
      <c r="AP37" s="386">
        <v>1</v>
      </c>
      <c r="AQ37" s="386">
        <v>1</v>
      </c>
      <c r="AR37" s="384" t="s">
        <v>184</v>
      </c>
      <c r="AS37" s="388">
        <f t="shared" si="27"/>
        <v>1</v>
      </c>
      <c r="AT37">
        <f t="shared" si="28"/>
        <v>3</v>
      </c>
      <c r="AU37" s="388" t="str">
        <f>IF(AT37=0,"",IF(AND(AT37=1,M37="F",SUMIF(C2:C53,C37,AS2:AS53)&lt;=1),SUMIF(C2:C53,C37,AS2:AS53),IF(AND(AT37=1,M37="F",SUMIF(C2:C53,C37,AS2:AS53)&gt;1),1,"")))</f>
        <v/>
      </c>
      <c r="AV37" s="388">
        <f>IF(AT37=0,"",IF(AND(AT37=3,M37="F",SUMIF(C2:C53,C37,AS2:AS53)&lt;=1),SUMIF(C2:C53,C37,AS2:AS53),IF(AND(AT37=3,M37="F",SUMIF(C2:C53,C37,AS2:AS53)&gt;1),1,"")))</f>
        <v>1</v>
      </c>
      <c r="AW37" s="388">
        <f>SUMIF(C2:C53,C37,O2:O53)</f>
        <v>1</v>
      </c>
      <c r="AX37" s="388">
        <f>IF(AND(M37="F",AS37&lt;&gt;0),SUMIF(C2:C53,C37,W2:W53),0)</f>
        <v>120246</v>
      </c>
      <c r="AY37" s="388" t="str">
        <f t="shared" si="29"/>
        <v/>
      </c>
      <c r="AZ37" s="388">
        <f t="shared" si="30"/>
        <v>120246</v>
      </c>
      <c r="BA37" s="388">
        <f t="shared" si="31"/>
        <v>0</v>
      </c>
      <c r="BB37" s="388">
        <f t="shared" si="44"/>
        <v>0</v>
      </c>
      <c r="BC37" s="388">
        <f t="shared" si="45"/>
        <v>12500</v>
      </c>
      <c r="BD37" s="388">
        <f t="shared" si="46"/>
        <v>7455.2519999999995</v>
      </c>
      <c r="BE37" s="388">
        <f t="shared" si="47"/>
        <v>1743.567</v>
      </c>
      <c r="BF37" s="388">
        <f t="shared" si="48"/>
        <v>14357.3724</v>
      </c>
      <c r="BG37" s="388">
        <f t="shared" si="49"/>
        <v>866.97366</v>
      </c>
      <c r="BH37" s="388">
        <f t="shared" si="50"/>
        <v>0</v>
      </c>
      <c r="BI37" s="388">
        <f t="shared" si="51"/>
        <v>0</v>
      </c>
      <c r="BJ37" s="388">
        <f t="shared" si="52"/>
        <v>721.476</v>
      </c>
      <c r="BK37" s="388">
        <f t="shared" si="53"/>
        <v>0</v>
      </c>
      <c r="BL37" s="388">
        <f t="shared" si="32"/>
        <v>0</v>
      </c>
      <c r="BM37" s="388">
        <f t="shared" si="33"/>
        <v>25144.641059999998</v>
      </c>
      <c r="BN37" s="388">
        <f t="shared" si="54"/>
        <v>0</v>
      </c>
      <c r="BO37" s="388">
        <f t="shared" si="55"/>
        <v>13750</v>
      </c>
      <c r="BP37" s="388">
        <f t="shared" si="56"/>
        <v>7455.2519999999995</v>
      </c>
      <c r="BQ37" s="388">
        <f t="shared" si="57"/>
        <v>1743.567</v>
      </c>
      <c r="BR37" s="388">
        <f t="shared" si="58"/>
        <v>13443.5028</v>
      </c>
      <c r="BS37" s="388">
        <f t="shared" si="59"/>
        <v>866.97366</v>
      </c>
      <c r="BT37" s="388">
        <f t="shared" si="60"/>
        <v>0</v>
      </c>
      <c r="BU37" s="388">
        <f t="shared" si="61"/>
        <v>0</v>
      </c>
      <c r="BV37" s="388">
        <f t="shared" si="62"/>
        <v>733.50060000000008</v>
      </c>
      <c r="BW37" s="388">
        <f t="shared" si="63"/>
        <v>0</v>
      </c>
      <c r="BX37" s="388">
        <f t="shared" si="34"/>
        <v>0</v>
      </c>
      <c r="BY37" s="388">
        <f t="shared" si="35"/>
        <v>24242.796059999997</v>
      </c>
      <c r="BZ37" s="388">
        <f t="shared" si="36"/>
        <v>0</v>
      </c>
      <c r="CA37" s="388">
        <f t="shared" si="37"/>
        <v>1250</v>
      </c>
      <c r="CB37" s="388">
        <f t="shared" si="38"/>
        <v>0</v>
      </c>
      <c r="CC37" s="388">
        <f t="shared" si="64"/>
        <v>0</v>
      </c>
      <c r="CD37" s="388">
        <f t="shared" si="65"/>
        <v>-913.86960000000113</v>
      </c>
      <c r="CE37" s="388">
        <f t="shared" si="66"/>
        <v>0</v>
      </c>
      <c r="CF37" s="388">
        <f t="shared" si="67"/>
        <v>0</v>
      </c>
      <c r="CG37" s="388">
        <f t="shared" si="68"/>
        <v>0</v>
      </c>
      <c r="CH37" s="388">
        <f t="shared" si="69"/>
        <v>12.024600000000031</v>
      </c>
      <c r="CI37" s="388">
        <f t="shared" si="70"/>
        <v>0</v>
      </c>
      <c r="CJ37" s="388">
        <f t="shared" si="39"/>
        <v>0</v>
      </c>
      <c r="CK37" s="388">
        <f t="shared" si="40"/>
        <v>-901.84500000000105</v>
      </c>
      <c r="CL37" s="388" t="str">
        <f t="shared" si="41"/>
        <v/>
      </c>
      <c r="CM37" s="388" t="str">
        <f t="shared" si="42"/>
        <v/>
      </c>
      <c r="CN37" s="388" t="str">
        <f t="shared" si="43"/>
        <v>0229-20</v>
      </c>
    </row>
    <row r="38" spans="1:92" ht="15.75" thickBot="1">
      <c r="A38" s="377" t="s">
        <v>162</v>
      </c>
      <c r="B38" s="377" t="s">
        <v>163</v>
      </c>
      <c r="C38" s="377" t="s">
        <v>360</v>
      </c>
      <c r="D38" s="377" t="s">
        <v>186</v>
      </c>
      <c r="E38" s="377" t="s">
        <v>166</v>
      </c>
      <c r="F38" s="378" t="s">
        <v>167</v>
      </c>
      <c r="G38" s="377" t="s">
        <v>168</v>
      </c>
      <c r="H38" s="379"/>
      <c r="I38" s="379"/>
      <c r="J38" s="377" t="s">
        <v>169</v>
      </c>
      <c r="K38" s="377" t="s">
        <v>187</v>
      </c>
      <c r="L38" s="377" t="s">
        <v>188</v>
      </c>
      <c r="M38" s="377" t="s">
        <v>172</v>
      </c>
      <c r="N38" s="377" t="s">
        <v>173</v>
      </c>
      <c r="O38" s="380">
        <v>1</v>
      </c>
      <c r="P38" s="386">
        <v>1</v>
      </c>
      <c r="Q38" s="386">
        <v>1</v>
      </c>
      <c r="R38" s="381">
        <v>80</v>
      </c>
      <c r="S38" s="386">
        <v>1</v>
      </c>
      <c r="T38" s="381">
        <v>33859.230000000003</v>
      </c>
      <c r="U38" s="381">
        <v>0</v>
      </c>
      <c r="V38" s="381">
        <v>14225.91</v>
      </c>
      <c r="W38" s="381">
        <v>64022.400000000001</v>
      </c>
      <c r="X38" s="381">
        <v>26242.38</v>
      </c>
      <c r="Y38" s="381">
        <v>64022.400000000001</v>
      </c>
      <c r="Z38" s="381">
        <v>27012.21</v>
      </c>
      <c r="AA38" s="377" t="s">
        <v>361</v>
      </c>
      <c r="AB38" s="377" t="s">
        <v>362</v>
      </c>
      <c r="AC38" s="377" t="s">
        <v>363</v>
      </c>
      <c r="AD38" s="377" t="s">
        <v>181</v>
      </c>
      <c r="AE38" s="377" t="s">
        <v>187</v>
      </c>
      <c r="AF38" s="377" t="s">
        <v>193</v>
      </c>
      <c r="AG38" s="377" t="s">
        <v>179</v>
      </c>
      <c r="AH38" s="382">
        <v>30.78</v>
      </c>
      <c r="AI38" s="382">
        <v>15023.9</v>
      </c>
      <c r="AJ38" s="377" t="s">
        <v>180</v>
      </c>
      <c r="AK38" s="377" t="s">
        <v>181</v>
      </c>
      <c r="AL38" s="377" t="s">
        <v>182</v>
      </c>
      <c r="AM38" s="377" t="s">
        <v>183</v>
      </c>
      <c r="AN38" s="377" t="s">
        <v>66</v>
      </c>
      <c r="AO38" s="380">
        <v>80</v>
      </c>
      <c r="AP38" s="386">
        <v>1</v>
      </c>
      <c r="AQ38" s="386">
        <v>1</v>
      </c>
      <c r="AR38" s="384" t="s">
        <v>184</v>
      </c>
      <c r="AS38" s="388">
        <f t="shared" si="27"/>
        <v>1</v>
      </c>
      <c r="AT38">
        <f t="shared" si="28"/>
        <v>1</v>
      </c>
      <c r="AU38" s="388">
        <f>IF(AT38=0,"",IF(AND(AT38=1,M38="F",SUMIF(C2:C53,C38,AS2:AS53)&lt;=1),SUMIF(C2:C53,C38,AS2:AS53),IF(AND(AT38=1,M38="F",SUMIF(C2:C53,C38,AS2:AS53)&gt;1),1,"")))</f>
        <v>1</v>
      </c>
      <c r="AV38" s="388" t="str">
        <f>IF(AT38=0,"",IF(AND(AT38=3,M38="F",SUMIF(C2:C53,C38,AS2:AS53)&lt;=1),SUMIF(C2:C53,C38,AS2:AS53),IF(AND(AT38=3,M38="F",SUMIF(C2:C53,C38,AS2:AS53)&gt;1),1,"")))</f>
        <v/>
      </c>
      <c r="AW38" s="388">
        <f>SUMIF(C2:C53,C38,O2:O53)</f>
        <v>1</v>
      </c>
      <c r="AX38" s="388">
        <f>IF(AND(M38="F",AS38&lt;&gt;0),SUMIF(C2:C53,C38,W2:W53),0)</f>
        <v>64022.400000000001</v>
      </c>
      <c r="AY38" s="388">
        <f t="shared" si="29"/>
        <v>64022.400000000001</v>
      </c>
      <c r="AZ38" s="388" t="str">
        <f t="shared" si="30"/>
        <v/>
      </c>
      <c r="BA38" s="388">
        <f t="shared" si="31"/>
        <v>0</v>
      </c>
      <c r="BB38" s="388">
        <f t="shared" si="44"/>
        <v>12500</v>
      </c>
      <c r="BC38" s="388">
        <f t="shared" si="45"/>
        <v>0</v>
      </c>
      <c r="BD38" s="388">
        <f t="shared" si="46"/>
        <v>3969.3888000000002</v>
      </c>
      <c r="BE38" s="388">
        <f t="shared" si="47"/>
        <v>928.3248000000001</v>
      </c>
      <c r="BF38" s="388">
        <f t="shared" si="48"/>
        <v>7644.2745600000007</v>
      </c>
      <c r="BG38" s="388">
        <f t="shared" si="49"/>
        <v>461.60150400000003</v>
      </c>
      <c r="BH38" s="388">
        <f t="shared" si="50"/>
        <v>0</v>
      </c>
      <c r="BI38" s="388">
        <f t="shared" si="51"/>
        <v>354.36398400000002</v>
      </c>
      <c r="BJ38" s="388">
        <f t="shared" si="52"/>
        <v>384.13440000000003</v>
      </c>
      <c r="BK38" s="388">
        <f t="shared" si="53"/>
        <v>0</v>
      </c>
      <c r="BL38" s="388">
        <f t="shared" si="32"/>
        <v>13742.088048000001</v>
      </c>
      <c r="BM38" s="388">
        <f t="shared" si="33"/>
        <v>0</v>
      </c>
      <c r="BN38" s="388">
        <f t="shared" si="54"/>
        <v>13750</v>
      </c>
      <c r="BO38" s="388">
        <f t="shared" si="55"/>
        <v>0</v>
      </c>
      <c r="BP38" s="388">
        <f t="shared" si="56"/>
        <v>3969.3888000000002</v>
      </c>
      <c r="BQ38" s="388">
        <f t="shared" si="57"/>
        <v>928.3248000000001</v>
      </c>
      <c r="BR38" s="388">
        <f t="shared" si="58"/>
        <v>7157.7043199999998</v>
      </c>
      <c r="BS38" s="388">
        <f t="shared" si="59"/>
        <v>461.60150400000003</v>
      </c>
      <c r="BT38" s="388">
        <f t="shared" si="60"/>
        <v>0</v>
      </c>
      <c r="BU38" s="388">
        <f t="shared" si="61"/>
        <v>354.36398400000002</v>
      </c>
      <c r="BV38" s="388">
        <f t="shared" si="62"/>
        <v>390.53664000000003</v>
      </c>
      <c r="BW38" s="388">
        <f t="shared" si="63"/>
        <v>0</v>
      </c>
      <c r="BX38" s="388">
        <f t="shared" si="34"/>
        <v>13261.920048</v>
      </c>
      <c r="BY38" s="388">
        <f t="shared" si="35"/>
        <v>0</v>
      </c>
      <c r="BZ38" s="388">
        <f t="shared" si="36"/>
        <v>1250</v>
      </c>
      <c r="CA38" s="388">
        <f t="shared" si="37"/>
        <v>0</v>
      </c>
      <c r="CB38" s="388">
        <f t="shared" si="38"/>
        <v>0</v>
      </c>
      <c r="CC38" s="388">
        <f t="shared" si="64"/>
        <v>0</v>
      </c>
      <c r="CD38" s="388">
        <f t="shared" si="65"/>
        <v>-486.57024000000064</v>
      </c>
      <c r="CE38" s="388">
        <f t="shared" si="66"/>
        <v>0</v>
      </c>
      <c r="CF38" s="388">
        <f t="shared" si="67"/>
        <v>0</v>
      </c>
      <c r="CG38" s="388">
        <f t="shared" si="68"/>
        <v>0</v>
      </c>
      <c r="CH38" s="388">
        <f t="shared" si="69"/>
        <v>6.4022400000000168</v>
      </c>
      <c r="CI38" s="388">
        <f t="shared" si="70"/>
        <v>0</v>
      </c>
      <c r="CJ38" s="388">
        <f t="shared" si="39"/>
        <v>-480.16800000000063</v>
      </c>
      <c r="CK38" s="388" t="str">
        <f t="shared" si="40"/>
        <v/>
      </c>
      <c r="CL38" s="388" t="str">
        <f t="shared" si="41"/>
        <v/>
      </c>
      <c r="CM38" s="388" t="str">
        <f t="shared" si="42"/>
        <v/>
      </c>
      <c r="CN38" s="388" t="str">
        <f t="shared" si="43"/>
        <v>0229-20</v>
      </c>
    </row>
    <row r="39" spans="1:92" ht="15.75" thickBot="1">
      <c r="A39" s="377" t="s">
        <v>162</v>
      </c>
      <c r="B39" s="377" t="s">
        <v>163</v>
      </c>
      <c r="C39" s="377" t="s">
        <v>364</v>
      </c>
      <c r="D39" s="377" t="s">
        <v>355</v>
      </c>
      <c r="E39" s="377" t="s">
        <v>166</v>
      </c>
      <c r="F39" s="378" t="s">
        <v>167</v>
      </c>
      <c r="G39" s="377" t="s">
        <v>168</v>
      </c>
      <c r="H39" s="379"/>
      <c r="I39" s="379"/>
      <c r="J39" s="377" t="s">
        <v>169</v>
      </c>
      <c r="K39" s="377" t="s">
        <v>356</v>
      </c>
      <c r="L39" s="377" t="s">
        <v>249</v>
      </c>
      <c r="M39" s="377" t="s">
        <v>172</v>
      </c>
      <c r="N39" s="377" t="s">
        <v>254</v>
      </c>
      <c r="O39" s="380">
        <v>1</v>
      </c>
      <c r="P39" s="386">
        <v>1</v>
      </c>
      <c r="Q39" s="386">
        <v>1</v>
      </c>
      <c r="R39" s="381">
        <v>80</v>
      </c>
      <c r="S39" s="386">
        <v>1</v>
      </c>
      <c r="T39" s="381">
        <v>130817.08</v>
      </c>
      <c r="U39" s="381">
        <v>0</v>
      </c>
      <c r="V39" s="381">
        <v>35985.9</v>
      </c>
      <c r="W39" s="381">
        <v>120246</v>
      </c>
      <c r="X39" s="381">
        <v>37644.620000000003</v>
      </c>
      <c r="Y39" s="381">
        <v>120246</v>
      </c>
      <c r="Z39" s="381">
        <v>37992.78</v>
      </c>
      <c r="AA39" s="377" t="s">
        <v>365</v>
      </c>
      <c r="AB39" s="377" t="s">
        <v>366</v>
      </c>
      <c r="AC39" s="377" t="s">
        <v>359</v>
      </c>
      <c r="AD39" s="377" t="s">
        <v>367</v>
      </c>
      <c r="AE39" s="377" t="s">
        <v>356</v>
      </c>
      <c r="AF39" s="377" t="s">
        <v>259</v>
      </c>
      <c r="AG39" s="377" t="s">
        <v>238</v>
      </c>
      <c r="AH39" s="380">
        <v>120246</v>
      </c>
      <c r="AI39" s="382">
        <v>56739.5</v>
      </c>
      <c r="AJ39" s="377" t="s">
        <v>180</v>
      </c>
      <c r="AK39" s="377" t="s">
        <v>181</v>
      </c>
      <c r="AL39" s="377" t="s">
        <v>182</v>
      </c>
      <c r="AM39" s="377" t="s">
        <v>182</v>
      </c>
      <c r="AN39" s="377" t="s">
        <v>66</v>
      </c>
      <c r="AO39" s="380">
        <v>80</v>
      </c>
      <c r="AP39" s="386">
        <v>1</v>
      </c>
      <c r="AQ39" s="386">
        <v>1</v>
      </c>
      <c r="AR39" s="384" t="s">
        <v>184</v>
      </c>
      <c r="AS39" s="388">
        <f t="shared" si="27"/>
        <v>1</v>
      </c>
      <c r="AT39">
        <f t="shared" si="28"/>
        <v>3</v>
      </c>
      <c r="AU39" s="388" t="str">
        <f>IF(AT39=0,"",IF(AND(AT39=1,M39="F",SUMIF(C2:C53,C39,AS2:AS53)&lt;=1),SUMIF(C2:C53,C39,AS2:AS53),IF(AND(AT39=1,M39="F",SUMIF(C2:C53,C39,AS2:AS53)&gt;1),1,"")))</f>
        <v/>
      </c>
      <c r="AV39" s="388">
        <f>IF(AT39=0,"",IF(AND(AT39=3,M39="F",SUMIF(C2:C53,C39,AS2:AS53)&lt;=1),SUMIF(C2:C53,C39,AS2:AS53),IF(AND(AT39=3,M39="F",SUMIF(C2:C53,C39,AS2:AS53)&gt;1),1,"")))</f>
        <v>1</v>
      </c>
      <c r="AW39" s="388">
        <f>SUMIF(C2:C53,C39,O2:O53)</f>
        <v>1</v>
      </c>
      <c r="AX39" s="388">
        <f>IF(AND(M39="F",AS39&lt;&gt;0),SUMIF(C2:C53,C39,W2:W53),0)</f>
        <v>120246</v>
      </c>
      <c r="AY39" s="388" t="str">
        <f t="shared" si="29"/>
        <v/>
      </c>
      <c r="AZ39" s="388">
        <f t="shared" si="30"/>
        <v>120246</v>
      </c>
      <c r="BA39" s="388">
        <f t="shared" si="31"/>
        <v>0</v>
      </c>
      <c r="BB39" s="388">
        <f t="shared" si="44"/>
        <v>0</v>
      </c>
      <c r="BC39" s="388">
        <f t="shared" si="45"/>
        <v>12500</v>
      </c>
      <c r="BD39" s="388">
        <f t="shared" si="46"/>
        <v>7455.2519999999995</v>
      </c>
      <c r="BE39" s="388">
        <f t="shared" si="47"/>
        <v>1743.567</v>
      </c>
      <c r="BF39" s="388">
        <f t="shared" si="48"/>
        <v>14357.3724</v>
      </c>
      <c r="BG39" s="388">
        <f t="shared" si="49"/>
        <v>866.97366</v>
      </c>
      <c r="BH39" s="388">
        <f t="shared" si="50"/>
        <v>0</v>
      </c>
      <c r="BI39" s="388">
        <f t="shared" si="51"/>
        <v>0</v>
      </c>
      <c r="BJ39" s="388">
        <f t="shared" si="52"/>
        <v>721.476</v>
      </c>
      <c r="BK39" s="388">
        <f t="shared" si="53"/>
        <v>0</v>
      </c>
      <c r="BL39" s="388">
        <f t="shared" si="32"/>
        <v>0</v>
      </c>
      <c r="BM39" s="388">
        <f t="shared" si="33"/>
        <v>25144.641059999998</v>
      </c>
      <c r="BN39" s="388">
        <f t="shared" si="54"/>
        <v>0</v>
      </c>
      <c r="BO39" s="388">
        <f t="shared" si="55"/>
        <v>13750</v>
      </c>
      <c r="BP39" s="388">
        <f t="shared" si="56"/>
        <v>7455.2519999999995</v>
      </c>
      <c r="BQ39" s="388">
        <f t="shared" si="57"/>
        <v>1743.567</v>
      </c>
      <c r="BR39" s="388">
        <f t="shared" si="58"/>
        <v>13443.5028</v>
      </c>
      <c r="BS39" s="388">
        <f t="shared" si="59"/>
        <v>866.97366</v>
      </c>
      <c r="BT39" s="388">
        <f t="shared" si="60"/>
        <v>0</v>
      </c>
      <c r="BU39" s="388">
        <f t="shared" si="61"/>
        <v>0</v>
      </c>
      <c r="BV39" s="388">
        <f t="shared" si="62"/>
        <v>733.50060000000008</v>
      </c>
      <c r="BW39" s="388">
        <f t="shared" si="63"/>
        <v>0</v>
      </c>
      <c r="BX39" s="388">
        <f t="shared" si="34"/>
        <v>0</v>
      </c>
      <c r="BY39" s="388">
        <f t="shared" si="35"/>
        <v>24242.796059999997</v>
      </c>
      <c r="BZ39" s="388">
        <f t="shared" si="36"/>
        <v>0</v>
      </c>
      <c r="CA39" s="388">
        <f t="shared" si="37"/>
        <v>1250</v>
      </c>
      <c r="CB39" s="388">
        <f t="shared" si="38"/>
        <v>0</v>
      </c>
      <c r="CC39" s="388">
        <f t="shared" si="64"/>
        <v>0</v>
      </c>
      <c r="CD39" s="388">
        <f t="shared" si="65"/>
        <v>-913.86960000000113</v>
      </c>
      <c r="CE39" s="388">
        <f t="shared" si="66"/>
        <v>0</v>
      </c>
      <c r="CF39" s="388">
        <f t="shared" si="67"/>
        <v>0</v>
      </c>
      <c r="CG39" s="388">
        <f t="shared" si="68"/>
        <v>0</v>
      </c>
      <c r="CH39" s="388">
        <f t="shared" si="69"/>
        <v>12.024600000000031</v>
      </c>
      <c r="CI39" s="388">
        <f t="shared" si="70"/>
        <v>0</v>
      </c>
      <c r="CJ39" s="388">
        <f t="shared" si="39"/>
        <v>0</v>
      </c>
      <c r="CK39" s="388">
        <f t="shared" si="40"/>
        <v>-901.84500000000105</v>
      </c>
      <c r="CL39" s="388" t="str">
        <f t="shared" si="41"/>
        <v/>
      </c>
      <c r="CM39" s="388" t="str">
        <f t="shared" si="42"/>
        <v/>
      </c>
      <c r="CN39" s="388" t="str">
        <f t="shared" si="43"/>
        <v>0229-20</v>
      </c>
    </row>
    <row r="40" spans="1:92" ht="15.75" thickBot="1">
      <c r="A40" s="377" t="s">
        <v>162</v>
      </c>
      <c r="B40" s="377" t="s">
        <v>163</v>
      </c>
      <c r="C40" s="377" t="s">
        <v>368</v>
      </c>
      <c r="D40" s="377" t="s">
        <v>165</v>
      </c>
      <c r="E40" s="377" t="s">
        <v>166</v>
      </c>
      <c r="F40" s="378" t="s">
        <v>167</v>
      </c>
      <c r="G40" s="377" t="s">
        <v>168</v>
      </c>
      <c r="H40" s="379"/>
      <c r="I40" s="379"/>
      <c r="J40" s="377" t="s">
        <v>169</v>
      </c>
      <c r="K40" s="377" t="s">
        <v>170</v>
      </c>
      <c r="L40" s="377" t="s">
        <v>171</v>
      </c>
      <c r="M40" s="377" t="s">
        <v>172</v>
      </c>
      <c r="N40" s="377" t="s">
        <v>173</v>
      </c>
      <c r="O40" s="380">
        <v>1</v>
      </c>
      <c r="P40" s="386">
        <v>1</v>
      </c>
      <c r="Q40" s="386">
        <v>1</v>
      </c>
      <c r="R40" s="381">
        <v>80</v>
      </c>
      <c r="S40" s="386">
        <v>1</v>
      </c>
      <c r="T40" s="381">
        <v>56636.02</v>
      </c>
      <c r="U40" s="381">
        <v>0</v>
      </c>
      <c r="V40" s="381">
        <v>23898.19</v>
      </c>
      <c r="W40" s="381">
        <v>62691.199999999997</v>
      </c>
      <c r="X40" s="381">
        <v>25956.63</v>
      </c>
      <c r="Y40" s="381">
        <v>62691.199999999997</v>
      </c>
      <c r="Z40" s="381">
        <v>26736.45</v>
      </c>
      <c r="AA40" s="377" t="s">
        <v>369</v>
      </c>
      <c r="AB40" s="377" t="s">
        <v>370</v>
      </c>
      <c r="AC40" s="377" t="s">
        <v>371</v>
      </c>
      <c r="AD40" s="377" t="s">
        <v>292</v>
      </c>
      <c r="AE40" s="377" t="s">
        <v>170</v>
      </c>
      <c r="AF40" s="377" t="s">
        <v>178</v>
      </c>
      <c r="AG40" s="377" t="s">
        <v>179</v>
      </c>
      <c r="AH40" s="382">
        <v>30.14</v>
      </c>
      <c r="AI40" s="382">
        <v>31281.9</v>
      </c>
      <c r="AJ40" s="377" t="s">
        <v>180</v>
      </c>
      <c r="AK40" s="377" t="s">
        <v>181</v>
      </c>
      <c r="AL40" s="377" t="s">
        <v>182</v>
      </c>
      <c r="AM40" s="377" t="s">
        <v>183</v>
      </c>
      <c r="AN40" s="377" t="s">
        <v>66</v>
      </c>
      <c r="AO40" s="380">
        <v>80</v>
      </c>
      <c r="AP40" s="386">
        <v>1</v>
      </c>
      <c r="AQ40" s="386">
        <v>1</v>
      </c>
      <c r="AR40" s="384" t="s">
        <v>184</v>
      </c>
      <c r="AS40" s="388">
        <f t="shared" si="27"/>
        <v>1</v>
      </c>
      <c r="AT40">
        <f t="shared" si="28"/>
        <v>1</v>
      </c>
      <c r="AU40" s="388">
        <f>IF(AT40=0,"",IF(AND(AT40=1,M40="F",SUMIF(C2:C53,C40,AS2:AS53)&lt;=1),SUMIF(C2:C53,C40,AS2:AS53),IF(AND(AT40=1,M40="F",SUMIF(C2:C53,C40,AS2:AS53)&gt;1),1,"")))</f>
        <v>1</v>
      </c>
      <c r="AV40" s="388" t="str">
        <f>IF(AT40=0,"",IF(AND(AT40=3,M40="F",SUMIF(C2:C53,C40,AS2:AS53)&lt;=1),SUMIF(C2:C53,C40,AS2:AS53),IF(AND(AT40=3,M40="F",SUMIF(C2:C53,C40,AS2:AS53)&gt;1),1,"")))</f>
        <v/>
      </c>
      <c r="AW40" s="388">
        <f>SUMIF(C2:C53,C40,O2:O53)</f>
        <v>1</v>
      </c>
      <c r="AX40" s="388">
        <f>IF(AND(M40="F",AS40&lt;&gt;0),SUMIF(C2:C53,C40,W2:W53),0)</f>
        <v>62691.199999999997</v>
      </c>
      <c r="AY40" s="388">
        <f t="shared" si="29"/>
        <v>62691.199999999997</v>
      </c>
      <c r="AZ40" s="388" t="str">
        <f t="shared" si="30"/>
        <v/>
      </c>
      <c r="BA40" s="388">
        <f t="shared" si="31"/>
        <v>0</v>
      </c>
      <c r="BB40" s="388">
        <f t="shared" si="44"/>
        <v>12500</v>
      </c>
      <c r="BC40" s="388">
        <f t="shared" si="45"/>
        <v>0</v>
      </c>
      <c r="BD40" s="388">
        <f t="shared" si="46"/>
        <v>3886.8543999999997</v>
      </c>
      <c r="BE40" s="388">
        <f t="shared" si="47"/>
        <v>909.02239999999995</v>
      </c>
      <c r="BF40" s="388">
        <f t="shared" si="48"/>
        <v>7485.3292799999999</v>
      </c>
      <c r="BG40" s="388">
        <f t="shared" si="49"/>
        <v>452.00355200000001</v>
      </c>
      <c r="BH40" s="388">
        <f t="shared" si="50"/>
        <v>0</v>
      </c>
      <c r="BI40" s="388">
        <f t="shared" si="51"/>
        <v>346.99579199999999</v>
      </c>
      <c r="BJ40" s="388">
        <f t="shared" si="52"/>
        <v>376.1472</v>
      </c>
      <c r="BK40" s="388">
        <f t="shared" si="53"/>
        <v>0</v>
      </c>
      <c r="BL40" s="388">
        <f t="shared" si="32"/>
        <v>13456.352623999999</v>
      </c>
      <c r="BM40" s="388">
        <f t="shared" si="33"/>
        <v>0</v>
      </c>
      <c r="BN40" s="388">
        <f t="shared" si="54"/>
        <v>13750</v>
      </c>
      <c r="BO40" s="388">
        <f t="shared" si="55"/>
        <v>0</v>
      </c>
      <c r="BP40" s="388">
        <f t="shared" si="56"/>
        <v>3886.8543999999997</v>
      </c>
      <c r="BQ40" s="388">
        <f t="shared" si="57"/>
        <v>909.02239999999995</v>
      </c>
      <c r="BR40" s="388">
        <f t="shared" si="58"/>
        <v>7008.8761599999998</v>
      </c>
      <c r="BS40" s="388">
        <f t="shared" si="59"/>
        <v>452.00355200000001</v>
      </c>
      <c r="BT40" s="388">
        <f t="shared" si="60"/>
        <v>0</v>
      </c>
      <c r="BU40" s="388">
        <f t="shared" si="61"/>
        <v>346.99579199999999</v>
      </c>
      <c r="BV40" s="388">
        <f t="shared" si="62"/>
        <v>382.41631999999998</v>
      </c>
      <c r="BW40" s="388">
        <f t="shared" si="63"/>
        <v>0</v>
      </c>
      <c r="BX40" s="388">
        <f t="shared" si="34"/>
        <v>12986.168624</v>
      </c>
      <c r="BY40" s="388">
        <f t="shared" si="35"/>
        <v>0</v>
      </c>
      <c r="BZ40" s="388">
        <f t="shared" si="36"/>
        <v>1250</v>
      </c>
      <c r="CA40" s="388">
        <f t="shared" si="37"/>
        <v>0</v>
      </c>
      <c r="CB40" s="388">
        <f t="shared" si="38"/>
        <v>0</v>
      </c>
      <c r="CC40" s="388">
        <f t="shared" si="64"/>
        <v>0</v>
      </c>
      <c r="CD40" s="388">
        <f t="shared" si="65"/>
        <v>-476.45312000000058</v>
      </c>
      <c r="CE40" s="388">
        <f t="shared" si="66"/>
        <v>0</v>
      </c>
      <c r="CF40" s="388">
        <f t="shared" si="67"/>
        <v>0</v>
      </c>
      <c r="CG40" s="388">
        <f t="shared" si="68"/>
        <v>0</v>
      </c>
      <c r="CH40" s="388">
        <f t="shared" si="69"/>
        <v>6.269120000000016</v>
      </c>
      <c r="CI40" s="388">
        <f t="shared" si="70"/>
        <v>0</v>
      </c>
      <c r="CJ40" s="388">
        <f t="shared" si="39"/>
        <v>-470.18400000000054</v>
      </c>
      <c r="CK40" s="388" t="str">
        <f t="shared" si="40"/>
        <v/>
      </c>
      <c r="CL40" s="388" t="str">
        <f t="shared" si="41"/>
        <v/>
      </c>
      <c r="CM40" s="388" t="str">
        <f t="shared" si="42"/>
        <v/>
      </c>
      <c r="CN40" s="388" t="str">
        <f t="shared" si="43"/>
        <v>0229-20</v>
      </c>
    </row>
    <row r="41" spans="1:92" ht="15.75" thickBot="1">
      <c r="A41" s="377" t="s">
        <v>162</v>
      </c>
      <c r="B41" s="377" t="s">
        <v>163</v>
      </c>
      <c r="C41" s="377" t="s">
        <v>372</v>
      </c>
      <c r="D41" s="377" t="s">
        <v>355</v>
      </c>
      <c r="E41" s="377" t="s">
        <v>166</v>
      </c>
      <c r="F41" s="378" t="s">
        <v>167</v>
      </c>
      <c r="G41" s="377" t="s">
        <v>168</v>
      </c>
      <c r="H41" s="379"/>
      <c r="I41" s="379"/>
      <c r="J41" s="377" t="s">
        <v>169</v>
      </c>
      <c r="K41" s="377" t="s">
        <v>356</v>
      </c>
      <c r="L41" s="377" t="s">
        <v>249</v>
      </c>
      <c r="M41" s="377" t="s">
        <v>172</v>
      </c>
      <c r="N41" s="377" t="s">
        <v>254</v>
      </c>
      <c r="O41" s="380">
        <v>1</v>
      </c>
      <c r="P41" s="386">
        <v>1</v>
      </c>
      <c r="Q41" s="386">
        <v>1</v>
      </c>
      <c r="R41" s="381">
        <v>80</v>
      </c>
      <c r="S41" s="386">
        <v>1</v>
      </c>
      <c r="T41" s="381">
        <v>114520</v>
      </c>
      <c r="U41" s="381">
        <v>0</v>
      </c>
      <c r="V41" s="381">
        <v>35320.61</v>
      </c>
      <c r="W41" s="381">
        <v>120246</v>
      </c>
      <c r="X41" s="381">
        <v>37644.620000000003</v>
      </c>
      <c r="Y41" s="381">
        <v>120246</v>
      </c>
      <c r="Z41" s="381">
        <v>37992.78</v>
      </c>
      <c r="AA41" s="377" t="s">
        <v>373</v>
      </c>
      <c r="AB41" s="377" t="s">
        <v>374</v>
      </c>
      <c r="AC41" s="377" t="s">
        <v>375</v>
      </c>
      <c r="AD41" s="377" t="s">
        <v>348</v>
      </c>
      <c r="AE41" s="377" t="s">
        <v>356</v>
      </c>
      <c r="AF41" s="377" t="s">
        <v>259</v>
      </c>
      <c r="AG41" s="377" t="s">
        <v>238</v>
      </c>
      <c r="AH41" s="380">
        <v>120246</v>
      </c>
      <c r="AI41" s="380">
        <v>26160</v>
      </c>
      <c r="AJ41" s="377" t="s">
        <v>180</v>
      </c>
      <c r="AK41" s="377" t="s">
        <v>181</v>
      </c>
      <c r="AL41" s="377" t="s">
        <v>182</v>
      </c>
      <c r="AM41" s="377" t="s">
        <v>182</v>
      </c>
      <c r="AN41" s="377" t="s">
        <v>66</v>
      </c>
      <c r="AO41" s="380">
        <v>80</v>
      </c>
      <c r="AP41" s="386">
        <v>1</v>
      </c>
      <c r="AQ41" s="386">
        <v>1</v>
      </c>
      <c r="AR41" s="384" t="s">
        <v>184</v>
      </c>
      <c r="AS41" s="388">
        <f t="shared" si="27"/>
        <v>1</v>
      </c>
      <c r="AT41">
        <f t="shared" si="28"/>
        <v>3</v>
      </c>
      <c r="AU41" s="388" t="str">
        <f>IF(AT41=0,"",IF(AND(AT41=1,M41="F",SUMIF(C2:C53,C41,AS2:AS53)&lt;=1),SUMIF(C2:C53,C41,AS2:AS53),IF(AND(AT41=1,M41="F",SUMIF(C2:C53,C41,AS2:AS53)&gt;1),1,"")))</f>
        <v/>
      </c>
      <c r="AV41" s="388">
        <f>IF(AT41=0,"",IF(AND(AT41=3,M41="F",SUMIF(C2:C53,C41,AS2:AS53)&lt;=1),SUMIF(C2:C53,C41,AS2:AS53),IF(AND(AT41=3,M41="F",SUMIF(C2:C53,C41,AS2:AS53)&gt;1),1,"")))</f>
        <v>1</v>
      </c>
      <c r="AW41" s="388">
        <f>SUMIF(C2:C53,C41,O2:O53)</f>
        <v>1</v>
      </c>
      <c r="AX41" s="388">
        <f>IF(AND(M41="F",AS41&lt;&gt;0),SUMIF(C2:C53,C41,W2:W53),0)</f>
        <v>120246</v>
      </c>
      <c r="AY41" s="388" t="str">
        <f t="shared" si="29"/>
        <v/>
      </c>
      <c r="AZ41" s="388">
        <f t="shared" si="30"/>
        <v>120246</v>
      </c>
      <c r="BA41" s="388">
        <f t="shared" si="31"/>
        <v>0</v>
      </c>
      <c r="BB41" s="388">
        <f t="shared" si="44"/>
        <v>0</v>
      </c>
      <c r="BC41" s="388">
        <f t="shared" si="45"/>
        <v>12500</v>
      </c>
      <c r="BD41" s="388">
        <f t="shared" si="46"/>
        <v>7455.2519999999995</v>
      </c>
      <c r="BE41" s="388">
        <f t="shared" si="47"/>
        <v>1743.567</v>
      </c>
      <c r="BF41" s="388">
        <f t="shared" si="48"/>
        <v>14357.3724</v>
      </c>
      <c r="BG41" s="388">
        <f t="shared" si="49"/>
        <v>866.97366</v>
      </c>
      <c r="BH41" s="388">
        <f t="shared" si="50"/>
        <v>0</v>
      </c>
      <c r="BI41" s="388">
        <f t="shared" si="51"/>
        <v>0</v>
      </c>
      <c r="BJ41" s="388">
        <f t="shared" si="52"/>
        <v>721.476</v>
      </c>
      <c r="BK41" s="388">
        <f t="shared" si="53"/>
        <v>0</v>
      </c>
      <c r="BL41" s="388">
        <f t="shared" si="32"/>
        <v>0</v>
      </c>
      <c r="BM41" s="388">
        <f t="shared" si="33"/>
        <v>25144.641059999998</v>
      </c>
      <c r="BN41" s="388">
        <f t="shared" si="54"/>
        <v>0</v>
      </c>
      <c r="BO41" s="388">
        <f t="shared" si="55"/>
        <v>13750</v>
      </c>
      <c r="BP41" s="388">
        <f t="shared" si="56"/>
        <v>7455.2519999999995</v>
      </c>
      <c r="BQ41" s="388">
        <f t="shared" si="57"/>
        <v>1743.567</v>
      </c>
      <c r="BR41" s="388">
        <f t="shared" si="58"/>
        <v>13443.5028</v>
      </c>
      <c r="BS41" s="388">
        <f t="shared" si="59"/>
        <v>866.97366</v>
      </c>
      <c r="BT41" s="388">
        <f t="shared" si="60"/>
        <v>0</v>
      </c>
      <c r="BU41" s="388">
        <f t="shared" si="61"/>
        <v>0</v>
      </c>
      <c r="BV41" s="388">
        <f t="shared" si="62"/>
        <v>733.50060000000008</v>
      </c>
      <c r="BW41" s="388">
        <f t="shared" si="63"/>
        <v>0</v>
      </c>
      <c r="BX41" s="388">
        <f t="shared" si="34"/>
        <v>0</v>
      </c>
      <c r="BY41" s="388">
        <f t="shared" si="35"/>
        <v>24242.796059999997</v>
      </c>
      <c r="BZ41" s="388">
        <f t="shared" si="36"/>
        <v>0</v>
      </c>
      <c r="CA41" s="388">
        <f t="shared" si="37"/>
        <v>1250</v>
      </c>
      <c r="CB41" s="388">
        <f t="shared" si="38"/>
        <v>0</v>
      </c>
      <c r="CC41" s="388">
        <f t="shared" si="64"/>
        <v>0</v>
      </c>
      <c r="CD41" s="388">
        <f t="shared" si="65"/>
        <v>-913.86960000000113</v>
      </c>
      <c r="CE41" s="388">
        <f t="shared" si="66"/>
        <v>0</v>
      </c>
      <c r="CF41" s="388">
        <f t="shared" si="67"/>
        <v>0</v>
      </c>
      <c r="CG41" s="388">
        <f t="shared" si="68"/>
        <v>0</v>
      </c>
      <c r="CH41" s="388">
        <f t="shared" si="69"/>
        <v>12.024600000000031</v>
      </c>
      <c r="CI41" s="388">
        <f t="shared" si="70"/>
        <v>0</v>
      </c>
      <c r="CJ41" s="388">
        <f t="shared" si="39"/>
        <v>0</v>
      </c>
      <c r="CK41" s="388">
        <f t="shared" si="40"/>
        <v>-901.84500000000105</v>
      </c>
      <c r="CL41" s="388" t="str">
        <f t="shared" si="41"/>
        <v/>
      </c>
      <c r="CM41" s="388" t="str">
        <f t="shared" si="42"/>
        <v/>
      </c>
      <c r="CN41" s="388" t="str">
        <f t="shared" si="43"/>
        <v>0229-20</v>
      </c>
    </row>
    <row r="42" spans="1:92" ht="15.75" thickBot="1">
      <c r="A42" s="377" t="s">
        <v>162</v>
      </c>
      <c r="B42" s="377" t="s">
        <v>163</v>
      </c>
      <c r="C42" s="377" t="s">
        <v>376</v>
      </c>
      <c r="D42" s="377" t="s">
        <v>165</v>
      </c>
      <c r="E42" s="377" t="s">
        <v>166</v>
      </c>
      <c r="F42" s="378" t="s">
        <v>167</v>
      </c>
      <c r="G42" s="377" t="s">
        <v>168</v>
      </c>
      <c r="H42" s="379"/>
      <c r="I42" s="379"/>
      <c r="J42" s="377" t="s">
        <v>169</v>
      </c>
      <c r="K42" s="377" t="s">
        <v>170</v>
      </c>
      <c r="L42" s="377" t="s">
        <v>171</v>
      </c>
      <c r="M42" s="377" t="s">
        <v>172</v>
      </c>
      <c r="N42" s="377" t="s">
        <v>173</v>
      </c>
      <c r="O42" s="380">
        <v>1</v>
      </c>
      <c r="P42" s="386">
        <v>1</v>
      </c>
      <c r="Q42" s="386">
        <v>1</v>
      </c>
      <c r="R42" s="381">
        <v>80</v>
      </c>
      <c r="S42" s="386">
        <v>1</v>
      </c>
      <c r="T42" s="381">
        <v>55385.78</v>
      </c>
      <c r="U42" s="381">
        <v>0</v>
      </c>
      <c r="V42" s="381">
        <v>23565.95</v>
      </c>
      <c r="W42" s="381">
        <v>62691.199999999997</v>
      </c>
      <c r="X42" s="381">
        <v>25956.63</v>
      </c>
      <c r="Y42" s="381">
        <v>62691.199999999997</v>
      </c>
      <c r="Z42" s="381">
        <v>26736.45</v>
      </c>
      <c r="AA42" s="377" t="s">
        <v>377</v>
      </c>
      <c r="AB42" s="377" t="s">
        <v>378</v>
      </c>
      <c r="AC42" s="377" t="s">
        <v>379</v>
      </c>
      <c r="AD42" s="377" t="s">
        <v>192</v>
      </c>
      <c r="AE42" s="377" t="s">
        <v>170</v>
      </c>
      <c r="AF42" s="377" t="s">
        <v>178</v>
      </c>
      <c r="AG42" s="377" t="s">
        <v>179</v>
      </c>
      <c r="AH42" s="382">
        <v>30.14</v>
      </c>
      <c r="AI42" s="380">
        <v>17088</v>
      </c>
      <c r="AJ42" s="377" t="s">
        <v>180</v>
      </c>
      <c r="AK42" s="377" t="s">
        <v>181</v>
      </c>
      <c r="AL42" s="377" t="s">
        <v>182</v>
      </c>
      <c r="AM42" s="377" t="s">
        <v>183</v>
      </c>
      <c r="AN42" s="377" t="s">
        <v>66</v>
      </c>
      <c r="AO42" s="380">
        <v>80</v>
      </c>
      <c r="AP42" s="386">
        <v>1</v>
      </c>
      <c r="AQ42" s="386">
        <v>1</v>
      </c>
      <c r="AR42" s="384" t="s">
        <v>184</v>
      </c>
      <c r="AS42" s="388">
        <f t="shared" si="27"/>
        <v>1</v>
      </c>
      <c r="AT42">
        <f t="shared" si="28"/>
        <v>1</v>
      </c>
      <c r="AU42" s="388">
        <f>IF(AT42=0,"",IF(AND(AT42=1,M42="F",SUMIF(C2:C53,C42,AS2:AS53)&lt;=1),SUMIF(C2:C53,C42,AS2:AS53),IF(AND(AT42=1,M42="F",SUMIF(C2:C53,C42,AS2:AS53)&gt;1),1,"")))</f>
        <v>1</v>
      </c>
      <c r="AV42" s="388" t="str">
        <f>IF(AT42=0,"",IF(AND(AT42=3,M42="F",SUMIF(C2:C53,C42,AS2:AS53)&lt;=1),SUMIF(C2:C53,C42,AS2:AS53),IF(AND(AT42=3,M42="F",SUMIF(C2:C53,C42,AS2:AS53)&gt;1),1,"")))</f>
        <v/>
      </c>
      <c r="AW42" s="388">
        <f>SUMIF(C2:C53,C42,O2:O53)</f>
        <v>1</v>
      </c>
      <c r="AX42" s="388">
        <f>IF(AND(M42="F",AS42&lt;&gt;0),SUMIF(C2:C53,C42,W2:W53),0)</f>
        <v>62691.199999999997</v>
      </c>
      <c r="AY42" s="388">
        <f t="shared" si="29"/>
        <v>62691.199999999997</v>
      </c>
      <c r="AZ42" s="388" t="str">
        <f t="shared" si="30"/>
        <v/>
      </c>
      <c r="BA42" s="388">
        <f t="shared" si="31"/>
        <v>0</v>
      </c>
      <c r="BB42" s="388">
        <f t="shared" si="44"/>
        <v>12500</v>
      </c>
      <c r="BC42" s="388">
        <f t="shared" si="45"/>
        <v>0</v>
      </c>
      <c r="BD42" s="388">
        <f t="shared" si="46"/>
        <v>3886.8543999999997</v>
      </c>
      <c r="BE42" s="388">
        <f t="shared" si="47"/>
        <v>909.02239999999995</v>
      </c>
      <c r="BF42" s="388">
        <f t="shared" si="48"/>
        <v>7485.3292799999999</v>
      </c>
      <c r="BG42" s="388">
        <f t="shared" si="49"/>
        <v>452.00355200000001</v>
      </c>
      <c r="BH42" s="388">
        <f t="shared" si="50"/>
        <v>0</v>
      </c>
      <c r="BI42" s="388">
        <f t="shared" si="51"/>
        <v>346.99579199999999</v>
      </c>
      <c r="BJ42" s="388">
        <f t="shared" si="52"/>
        <v>376.1472</v>
      </c>
      <c r="BK42" s="388">
        <f t="shared" si="53"/>
        <v>0</v>
      </c>
      <c r="BL42" s="388">
        <f t="shared" si="32"/>
        <v>13456.352623999999</v>
      </c>
      <c r="BM42" s="388">
        <f t="shared" si="33"/>
        <v>0</v>
      </c>
      <c r="BN42" s="388">
        <f t="shared" si="54"/>
        <v>13750</v>
      </c>
      <c r="BO42" s="388">
        <f t="shared" si="55"/>
        <v>0</v>
      </c>
      <c r="BP42" s="388">
        <f t="shared" si="56"/>
        <v>3886.8543999999997</v>
      </c>
      <c r="BQ42" s="388">
        <f t="shared" si="57"/>
        <v>909.02239999999995</v>
      </c>
      <c r="BR42" s="388">
        <f t="shared" si="58"/>
        <v>7008.8761599999998</v>
      </c>
      <c r="BS42" s="388">
        <f t="shared" si="59"/>
        <v>452.00355200000001</v>
      </c>
      <c r="BT42" s="388">
        <f t="shared" si="60"/>
        <v>0</v>
      </c>
      <c r="BU42" s="388">
        <f t="shared" si="61"/>
        <v>346.99579199999999</v>
      </c>
      <c r="BV42" s="388">
        <f t="shared" si="62"/>
        <v>382.41631999999998</v>
      </c>
      <c r="BW42" s="388">
        <f t="shared" si="63"/>
        <v>0</v>
      </c>
      <c r="BX42" s="388">
        <f t="shared" si="34"/>
        <v>12986.168624</v>
      </c>
      <c r="BY42" s="388">
        <f t="shared" si="35"/>
        <v>0</v>
      </c>
      <c r="BZ42" s="388">
        <f t="shared" si="36"/>
        <v>1250</v>
      </c>
      <c r="CA42" s="388">
        <f t="shared" si="37"/>
        <v>0</v>
      </c>
      <c r="CB42" s="388">
        <f t="shared" si="38"/>
        <v>0</v>
      </c>
      <c r="CC42" s="388">
        <f t="shared" si="64"/>
        <v>0</v>
      </c>
      <c r="CD42" s="388">
        <f t="shared" si="65"/>
        <v>-476.45312000000058</v>
      </c>
      <c r="CE42" s="388">
        <f t="shared" si="66"/>
        <v>0</v>
      </c>
      <c r="CF42" s="388">
        <f t="shared" si="67"/>
        <v>0</v>
      </c>
      <c r="CG42" s="388">
        <f t="shared" si="68"/>
        <v>0</v>
      </c>
      <c r="CH42" s="388">
        <f t="shared" si="69"/>
        <v>6.269120000000016</v>
      </c>
      <c r="CI42" s="388">
        <f t="shared" si="70"/>
        <v>0</v>
      </c>
      <c r="CJ42" s="388">
        <f t="shared" si="39"/>
        <v>-470.18400000000054</v>
      </c>
      <c r="CK42" s="388" t="str">
        <f t="shared" si="40"/>
        <v/>
      </c>
      <c r="CL42" s="388" t="str">
        <f t="shared" si="41"/>
        <v/>
      </c>
      <c r="CM42" s="388" t="str">
        <f t="shared" si="42"/>
        <v/>
      </c>
      <c r="CN42" s="388" t="str">
        <f t="shared" si="43"/>
        <v>0229-20</v>
      </c>
    </row>
    <row r="43" spans="1:92" ht="15.75" thickBot="1">
      <c r="A43" s="377" t="s">
        <v>162</v>
      </c>
      <c r="B43" s="377" t="s">
        <v>163</v>
      </c>
      <c r="C43" s="377" t="s">
        <v>380</v>
      </c>
      <c r="D43" s="377" t="s">
        <v>381</v>
      </c>
      <c r="E43" s="377" t="s">
        <v>166</v>
      </c>
      <c r="F43" s="378" t="s">
        <v>167</v>
      </c>
      <c r="G43" s="377" t="s">
        <v>168</v>
      </c>
      <c r="H43" s="379"/>
      <c r="I43" s="379"/>
      <c r="J43" s="377" t="s">
        <v>169</v>
      </c>
      <c r="K43" s="377" t="s">
        <v>382</v>
      </c>
      <c r="L43" s="377" t="s">
        <v>383</v>
      </c>
      <c r="M43" s="377" t="s">
        <v>172</v>
      </c>
      <c r="N43" s="377" t="s">
        <v>173</v>
      </c>
      <c r="O43" s="380">
        <v>1</v>
      </c>
      <c r="P43" s="386">
        <v>1</v>
      </c>
      <c r="Q43" s="386">
        <v>1</v>
      </c>
      <c r="R43" s="381">
        <v>80</v>
      </c>
      <c r="S43" s="386">
        <v>1</v>
      </c>
      <c r="T43" s="381">
        <v>32715.34</v>
      </c>
      <c r="U43" s="381">
        <v>0</v>
      </c>
      <c r="V43" s="381">
        <v>19228.689999999999</v>
      </c>
      <c r="W43" s="381">
        <v>33966.400000000001</v>
      </c>
      <c r="X43" s="381">
        <v>19790.849999999999</v>
      </c>
      <c r="Y43" s="381">
        <v>33966.400000000001</v>
      </c>
      <c r="Z43" s="381">
        <v>20786.11</v>
      </c>
      <c r="AA43" s="377" t="s">
        <v>384</v>
      </c>
      <c r="AB43" s="377" t="s">
        <v>385</v>
      </c>
      <c r="AC43" s="377" t="s">
        <v>386</v>
      </c>
      <c r="AD43" s="377" t="s">
        <v>387</v>
      </c>
      <c r="AE43" s="377" t="s">
        <v>382</v>
      </c>
      <c r="AF43" s="377" t="s">
        <v>388</v>
      </c>
      <c r="AG43" s="377" t="s">
        <v>179</v>
      </c>
      <c r="AH43" s="382">
        <v>16.329999999999998</v>
      </c>
      <c r="AI43" s="382">
        <v>3005.3</v>
      </c>
      <c r="AJ43" s="377" t="s">
        <v>180</v>
      </c>
      <c r="AK43" s="377" t="s">
        <v>181</v>
      </c>
      <c r="AL43" s="377" t="s">
        <v>182</v>
      </c>
      <c r="AM43" s="377" t="s">
        <v>183</v>
      </c>
      <c r="AN43" s="377" t="s">
        <v>66</v>
      </c>
      <c r="AO43" s="380">
        <v>80</v>
      </c>
      <c r="AP43" s="386">
        <v>1</v>
      </c>
      <c r="AQ43" s="386">
        <v>1</v>
      </c>
      <c r="AR43" s="384" t="s">
        <v>184</v>
      </c>
      <c r="AS43" s="388">
        <f t="shared" si="27"/>
        <v>1</v>
      </c>
      <c r="AT43">
        <f t="shared" si="28"/>
        <v>1</v>
      </c>
      <c r="AU43" s="388">
        <f>IF(AT43=0,"",IF(AND(AT43=1,M43="F",SUMIF(C2:C53,C43,AS2:AS53)&lt;=1),SUMIF(C2:C53,C43,AS2:AS53),IF(AND(AT43=1,M43="F",SUMIF(C2:C53,C43,AS2:AS53)&gt;1),1,"")))</f>
        <v>1</v>
      </c>
      <c r="AV43" s="388" t="str">
        <f>IF(AT43=0,"",IF(AND(AT43=3,M43="F",SUMIF(C2:C53,C43,AS2:AS53)&lt;=1),SUMIF(C2:C53,C43,AS2:AS53),IF(AND(AT43=3,M43="F",SUMIF(C2:C53,C43,AS2:AS53)&gt;1),1,"")))</f>
        <v/>
      </c>
      <c r="AW43" s="388">
        <f>SUMIF(C2:C53,C43,O2:O53)</f>
        <v>1</v>
      </c>
      <c r="AX43" s="388">
        <f>IF(AND(M43="F",AS43&lt;&gt;0),SUMIF(C2:C53,C43,W2:W53),0)</f>
        <v>33966.400000000001</v>
      </c>
      <c r="AY43" s="388">
        <f t="shared" si="29"/>
        <v>33966.400000000001</v>
      </c>
      <c r="AZ43" s="388" t="str">
        <f t="shared" si="30"/>
        <v/>
      </c>
      <c r="BA43" s="388">
        <f t="shared" si="31"/>
        <v>0</v>
      </c>
      <c r="BB43" s="388">
        <f t="shared" si="44"/>
        <v>12500</v>
      </c>
      <c r="BC43" s="388">
        <f t="shared" si="45"/>
        <v>0</v>
      </c>
      <c r="BD43" s="388">
        <f t="shared" si="46"/>
        <v>2105.9168</v>
      </c>
      <c r="BE43" s="388">
        <f t="shared" si="47"/>
        <v>492.51280000000003</v>
      </c>
      <c r="BF43" s="388">
        <f t="shared" si="48"/>
        <v>4055.5881600000002</v>
      </c>
      <c r="BG43" s="388">
        <f t="shared" si="49"/>
        <v>244.89774400000002</v>
      </c>
      <c r="BH43" s="388">
        <f t="shared" si="50"/>
        <v>0</v>
      </c>
      <c r="BI43" s="388">
        <f t="shared" si="51"/>
        <v>188.00402400000002</v>
      </c>
      <c r="BJ43" s="388">
        <f t="shared" si="52"/>
        <v>203.79840000000002</v>
      </c>
      <c r="BK43" s="388">
        <f t="shared" si="53"/>
        <v>0</v>
      </c>
      <c r="BL43" s="388">
        <f t="shared" si="32"/>
        <v>7290.717928</v>
      </c>
      <c r="BM43" s="388">
        <f t="shared" si="33"/>
        <v>0</v>
      </c>
      <c r="BN43" s="388">
        <f t="shared" si="54"/>
        <v>13750</v>
      </c>
      <c r="BO43" s="388">
        <f t="shared" si="55"/>
        <v>0</v>
      </c>
      <c r="BP43" s="388">
        <f t="shared" si="56"/>
        <v>2105.9168</v>
      </c>
      <c r="BQ43" s="388">
        <f t="shared" si="57"/>
        <v>492.51280000000003</v>
      </c>
      <c r="BR43" s="388">
        <f t="shared" si="58"/>
        <v>3797.4435200000003</v>
      </c>
      <c r="BS43" s="388">
        <f t="shared" si="59"/>
        <v>244.89774400000002</v>
      </c>
      <c r="BT43" s="388">
        <f t="shared" si="60"/>
        <v>0</v>
      </c>
      <c r="BU43" s="388">
        <f t="shared" si="61"/>
        <v>188.00402400000002</v>
      </c>
      <c r="BV43" s="388">
        <f t="shared" si="62"/>
        <v>207.19504000000003</v>
      </c>
      <c r="BW43" s="388">
        <f t="shared" si="63"/>
        <v>0</v>
      </c>
      <c r="BX43" s="388">
        <f t="shared" si="34"/>
        <v>7035.9699279999995</v>
      </c>
      <c r="BY43" s="388">
        <f t="shared" si="35"/>
        <v>0</v>
      </c>
      <c r="BZ43" s="388">
        <f t="shared" si="36"/>
        <v>1250</v>
      </c>
      <c r="CA43" s="388">
        <f t="shared" si="37"/>
        <v>0</v>
      </c>
      <c r="CB43" s="388">
        <f t="shared" si="38"/>
        <v>0</v>
      </c>
      <c r="CC43" s="388">
        <f t="shared" si="64"/>
        <v>0</v>
      </c>
      <c r="CD43" s="388">
        <f t="shared" si="65"/>
        <v>-258.14464000000032</v>
      </c>
      <c r="CE43" s="388">
        <f t="shared" si="66"/>
        <v>0</v>
      </c>
      <c r="CF43" s="388">
        <f t="shared" si="67"/>
        <v>0</v>
      </c>
      <c r="CG43" s="388">
        <f t="shared" si="68"/>
        <v>0</v>
      </c>
      <c r="CH43" s="388">
        <f t="shared" si="69"/>
        <v>3.396640000000009</v>
      </c>
      <c r="CI43" s="388">
        <f t="shared" si="70"/>
        <v>0</v>
      </c>
      <c r="CJ43" s="388">
        <f t="shared" si="39"/>
        <v>-254.7480000000003</v>
      </c>
      <c r="CK43" s="388" t="str">
        <f t="shared" si="40"/>
        <v/>
      </c>
      <c r="CL43" s="388" t="str">
        <f t="shared" si="41"/>
        <v/>
      </c>
      <c r="CM43" s="388" t="str">
        <f t="shared" si="42"/>
        <v/>
      </c>
      <c r="CN43" s="388" t="str">
        <f t="shared" si="43"/>
        <v>0229-20</v>
      </c>
    </row>
    <row r="44" spans="1:92" ht="15.75" thickBot="1">
      <c r="A44" s="377" t="s">
        <v>162</v>
      </c>
      <c r="B44" s="377" t="s">
        <v>163</v>
      </c>
      <c r="C44" s="377" t="s">
        <v>389</v>
      </c>
      <c r="D44" s="377" t="s">
        <v>263</v>
      </c>
      <c r="E44" s="377" t="s">
        <v>166</v>
      </c>
      <c r="F44" s="378" t="s">
        <v>167</v>
      </c>
      <c r="G44" s="377" t="s">
        <v>168</v>
      </c>
      <c r="H44" s="379"/>
      <c r="I44" s="379"/>
      <c r="J44" s="377" t="s">
        <v>169</v>
      </c>
      <c r="K44" s="377" t="s">
        <v>264</v>
      </c>
      <c r="L44" s="377" t="s">
        <v>182</v>
      </c>
      <c r="M44" s="377" t="s">
        <v>172</v>
      </c>
      <c r="N44" s="377" t="s">
        <v>173</v>
      </c>
      <c r="O44" s="380">
        <v>1</v>
      </c>
      <c r="P44" s="386">
        <v>1</v>
      </c>
      <c r="Q44" s="386">
        <v>1</v>
      </c>
      <c r="R44" s="381">
        <v>80</v>
      </c>
      <c r="S44" s="386">
        <v>1</v>
      </c>
      <c r="T44" s="381">
        <v>51064.75</v>
      </c>
      <c r="U44" s="381">
        <v>0</v>
      </c>
      <c r="V44" s="381">
        <v>16644.400000000001</v>
      </c>
      <c r="W44" s="381">
        <v>73736</v>
      </c>
      <c r="X44" s="381">
        <v>28327.4</v>
      </c>
      <c r="Y44" s="381">
        <v>73736</v>
      </c>
      <c r="Z44" s="381">
        <v>29024.38</v>
      </c>
      <c r="AA44" s="377" t="s">
        <v>390</v>
      </c>
      <c r="AB44" s="377" t="s">
        <v>391</v>
      </c>
      <c r="AC44" s="377" t="s">
        <v>392</v>
      </c>
      <c r="AD44" s="377" t="s">
        <v>393</v>
      </c>
      <c r="AE44" s="377" t="s">
        <v>264</v>
      </c>
      <c r="AF44" s="377" t="s">
        <v>268</v>
      </c>
      <c r="AG44" s="377" t="s">
        <v>179</v>
      </c>
      <c r="AH44" s="382">
        <v>35.450000000000003</v>
      </c>
      <c r="AI44" s="382">
        <v>3368.8</v>
      </c>
      <c r="AJ44" s="377" t="s">
        <v>180</v>
      </c>
      <c r="AK44" s="377" t="s">
        <v>181</v>
      </c>
      <c r="AL44" s="377" t="s">
        <v>182</v>
      </c>
      <c r="AM44" s="377" t="s">
        <v>183</v>
      </c>
      <c r="AN44" s="377" t="s">
        <v>66</v>
      </c>
      <c r="AO44" s="380">
        <v>80</v>
      </c>
      <c r="AP44" s="386">
        <v>1</v>
      </c>
      <c r="AQ44" s="386">
        <v>1</v>
      </c>
      <c r="AR44" s="384" t="s">
        <v>184</v>
      </c>
      <c r="AS44" s="388">
        <f t="shared" si="27"/>
        <v>1</v>
      </c>
      <c r="AT44">
        <f t="shared" si="28"/>
        <v>1</v>
      </c>
      <c r="AU44" s="388">
        <f>IF(AT44=0,"",IF(AND(AT44=1,M44="F",SUMIF(C2:C53,C44,AS2:AS53)&lt;=1),SUMIF(C2:C53,C44,AS2:AS53),IF(AND(AT44=1,M44="F",SUMIF(C2:C53,C44,AS2:AS53)&gt;1),1,"")))</f>
        <v>1</v>
      </c>
      <c r="AV44" s="388" t="str">
        <f>IF(AT44=0,"",IF(AND(AT44=3,M44="F",SUMIF(C2:C53,C44,AS2:AS53)&lt;=1),SUMIF(C2:C53,C44,AS2:AS53),IF(AND(AT44=3,M44="F",SUMIF(C2:C53,C44,AS2:AS53)&gt;1),1,"")))</f>
        <v/>
      </c>
      <c r="AW44" s="388">
        <f>SUMIF(C2:C53,C44,O2:O53)</f>
        <v>2</v>
      </c>
      <c r="AX44" s="388">
        <f>IF(AND(M44="F",AS44&lt;&gt;0),SUMIF(C2:C53,C44,W2:W53),0)</f>
        <v>73736</v>
      </c>
      <c r="AY44" s="388">
        <f t="shared" si="29"/>
        <v>73736</v>
      </c>
      <c r="AZ44" s="388" t="str">
        <f t="shared" si="30"/>
        <v/>
      </c>
      <c r="BA44" s="388">
        <f t="shared" si="31"/>
        <v>0</v>
      </c>
      <c r="BB44" s="388">
        <f t="shared" si="44"/>
        <v>12500</v>
      </c>
      <c r="BC44" s="388">
        <f t="shared" si="45"/>
        <v>0</v>
      </c>
      <c r="BD44" s="388">
        <f t="shared" si="46"/>
        <v>4571.6319999999996</v>
      </c>
      <c r="BE44" s="388">
        <f t="shared" si="47"/>
        <v>1069.172</v>
      </c>
      <c r="BF44" s="388">
        <f t="shared" si="48"/>
        <v>8804.0784000000003</v>
      </c>
      <c r="BG44" s="388">
        <f t="shared" si="49"/>
        <v>531.63656000000003</v>
      </c>
      <c r="BH44" s="388">
        <f t="shared" si="50"/>
        <v>0</v>
      </c>
      <c r="BI44" s="388">
        <f t="shared" si="51"/>
        <v>408.12876</v>
      </c>
      <c r="BJ44" s="388">
        <f t="shared" si="52"/>
        <v>442.416</v>
      </c>
      <c r="BK44" s="388">
        <f t="shared" si="53"/>
        <v>0</v>
      </c>
      <c r="BL44" s="388">
        <f t="shared" si="32"/>
        <v>15827.06372</v>
      </c>
      <c r="BM44" s="388">
        <f t="shared" si="33"/>
        <v>0</v>
      </c>
      <c r="BN44" s="388">
        <f t="shared" si="54"/>
        <v>13750</v>
      </c>
      <c r="BO44" s="388">
        <f t="shared" si="55"/>
        <v>0</v>
      </c>
      <c r="BP44" s="388">
        <f t="shared" si="56"/>
        <v>4571.6319999999996</v>
      </c>
      <c r="BQ44" s="388">
        <f t="shared" si="57"/>
        <v>1069.172</v>
      </c>
      <c r="BR44" s="388">
        <f t="shared" si="58"/>
        <v>8243.6847999999991</v>
      </c>
      <c r="BS44" s="388">
        <f t="shared" si="59"/>
        <v>531.63656000000003</v>
      </c>
      <c r="BT44" s="388">
        <f t="shared" si="60"/>
        <v>0</v>
      </c>
      <c r="BU44" s="388">
        <f t="shared" si="61"/>
        <v>408.12876</v>
      </c>
      <c r="BV44" s="388">
        <f t="shared" si="62"/>
        <v>449.78960000000001</v>
      </c>
      <c r="BW44" s="388">
        <f t="shared" si="63"/>
        <v>0</v>
      </c>
      <c r="BX44" s="388">
        <f t="shared" si="34"/>
        <v>15274.04372</v>
      </c>
      <c r="BY44" s="388">
        <f t="shared" si="35"/>
        <v>0</v>
      </c>
      <c r="BZ44" s="388">
        <f t="shared" si="36"/>
        <v>1250</v>
      </c>
      <c r="CA44" s="388">
        <f t="shared" si="37"/>
        <v>0</v>
      </c>
      <c r="CB44" s="388">
        <f t="shared" si="38"/>
        <v>0</v>
      </c>
      <c r="CC44" s="388">
        <f t="shared" si="64"/>
        <v>0</v>
      </c>
      <c r="CD44" s="388">
        <f t="shared" si="65"/>
        <v>-560.39360000000067</v>
      </c>
      <c r="CE44" s="388">
        <f t="shared" si="66"/>
        <v>0</v>
      </c>
      <c r="CF44" s="388">
        <f t="shared" si="67"/>
        <v>0</v>
      </c>
      <c r="CG44" s="388">
        <f t="shared" si="68"/>
        <v>0</v>
      </c>
      <c r="CH44" s="388">
        <f t="shared" si="69"/>
        <v>7.3736000000000193</v>
      </c>
      <c r="CI44" s="388">
        <f t="shared" si="70"/>
        <v>0</v>
      </c>
      <c r="CJ44" s="388">
        <f t="shared" si="39"/>
        <v>-553.02000000000066</v>
      </c>
      <c r="CK44" s="388" t="str">
        <f t="shared" si="40"/>
        <v/>
      </c>
      <c r="CL44" s="388" t="str">
        <f t="shared" si="41"/>
        <v/>
      </c>
      <c r="CM44" s="388" t="str">
        <f t="shared" si="42"/>
        <v/>
      </c>
      <c r="CN44" s="388" t="str">
        <f t="shared" si="43"/>
        <v>0229-20</v>
      </c>
    </row>
    <row r="45" spans="1:92" ht="15.75" thickBot="1">
      <c r="A45" s="377" t="s">
        <v>162</v>
      </c>
      <c r="B45" s="377" t="s">
        <v>163</v>
      </c>
      <c r="C45" s="377" t="s">
        <v>394</v>
      </c>
      <c r="D45" s="377" t="s">
        <v>186</v>
      </c>
      <c r="E45" s="377" t="s">
        <v>166</v>
      </c>
      <c r="F45" s="378" t="s">
        <v>167</v>
      </c>
      <c r="G45" s="377" t="s">
        <v>168</v>
      </c>
      <c r="H45" s="379"/>
      <c r="I45" s="379"/>
      <c r="J45" s="377" t="s">
        <v>169</v>
      </c>
      <c r="K45" s="377" t="s">
        <v>187</v>
      </c>
      <c r="L45" s="377" t="s">
        <v>188</v>
      </c>
      <c r="M45" s="377" t="s">
        <v>172</v>
      </c>
      <c r="N45" s="377" t="s">
        <v>173</v>
      </c>
      <c r="O45" s="380">
        <v>1</v>
      </c>
      <c r="P45" s="386">
        <v>1</v>
      </c>
      <c r="Q45" s="386">
        <v>1</v>
      </c>
      <c r="R45" s="381">
        <v>80</v>
      </c>
      <c r="S45" s="386">
        <v>1</v>
      </c>
      <c r="T45" s="381">
        <v>73594.44</v>
      </c>
      <c r="U45" s="381">
        <v>0</v>
      </c>
      <c r="V45" s="381">
        <v>27685.62</v>
      </c>
      <c r="W45" s="381">
        <v>79955.199999999997</v>
      </c>
      <c r="X45" s="381">
        <v>29662.37</v>
      </c>
      <c r="Y45" s="381">
        <v>79955.199999999997</v>
      </c>
      <c r="Z45" s="381">
        <v>30312.7</v>
      </c>
      <c r="AA45" s="377" t="s">
        <v>395</v>
      </c>
      <c r="AB45" s="377" t="s">
        <v>396</v>
      </c>
      <c r="AC45" s="377" t="s">
        <v>397</v>
      </c>
      <c r="AD45" s="377" t="s">
        <v>192</v>
      </c>
      <c r="AE45" s="377" t="s">
        <v>187</v>
      </c>
      <c r="AF45" s="377" t="s">
        <v>193</v>
      </c>
      <c r="AG45" s="377" t="s">
        <v>179</v>
      </c>
      <c r="AH45" s="382">
        <v>38.44</v>
      </c>
      <c r="AI45" s="380">
        <v>15489</v>
      </c>
      <c r="AJ45" s="377" t="s">
        <v>180</v>
      </c>
      <c r="AK45" s="377" t="s">
        <v>181</v>
      </c>
      <c r="AL45" s="377" t="s">
        <v>182</v>
      </c>
      <c r="AM45" s="377" t="s">
        <v>183</v>
      </c>
      <c r="AN45" s="377" t="s">
        <v>66</v>
      </c>
      <c r="AO45" s="380">
        <v>80</v>
      </c>
      <c r="AP45" s="386">
        <v>1</v>
      </c>
      <c r="AQ45" s="386">
        <v>1</v>
      </c>
      <c r="AR45" s="384" t="s">
        <v>184</v>
      </c>
      <c r="AS45" s="388">
        <f t="shared" si="27"/>
        <v>1</v>
      </c>
      <c r="AT45">
        <f t="shared" si="28"/>
        <v>1</v>
      </c>
      <c r="AU45" s="388">
        <f>IF(AT45=0,"",IF(AND(AT45=1,M45="F",SUMIF(C2:C53,C45,AS2:AS53)&lt;=1),SUMIF(C2:C53,C45,AS2:AS53),IF(AND(AT45=1,M45="F",SUMIF(C2:C53,C45,AS2:AS53)&gt;1),1,"")))</f>
        <v>1</v>
      </c>
      <c r="AV45" s="388" t="str">
        <f>IF(AT45=0,"",IF(AND(AT45=3,M45="F",SUMIF(C2:C53,C45,AS2:AS53)&lt;=1),SUMIF(C2:C53,C45,AS2:AS53),IF(AND(AT45=3,M45="F",SUMIF(C2:C53,C45,AS2:AS53)&gt;1),1,"")))</f>
        <v/>
      </c>
      <c r="AW45" s="388">
        <f>SUMIF(C2:C53,C45,O2:O53)</f>
        <v>1</v>
      </c>
      <c r="AX45" s="388">
        <f>IF(AND(M45="F",AS45&lt;&gt;0),SUMIF(C2:C53,C45,W2:W53),0)</f>
        <v>79955.199999999997</v>
      </c>
      <c r="AY45" s="388">
        <f t="shared" si="29"/>
        <v>79955.199999999997</v>
      </c>
      <c r="AZ45" s="388" t="str">
        <f t="shared" si="30"/>
        <v/>
      </c>
      <c r="BA45" s="388">
        <f t="shared" si="31"/>
        <v>0</v>
      </c>
      <c r="BB45" s="388">
        <f t="shared" si="44"/>
        <v>12500</v>
      </c>
      <c r="BC45" s="388">
        <f t="shared" si="45"/>
        <v>0</v>
      </c>
      <c r="BD45" s="388">
        <f t="shared" si="46"/>
        <v>4957.2223999999997</v>
      </c>
      <c r="BE45" s="388">
        <f t="shared" si="47"/>
        <v>1159.3504</v>
      </c>
      <c r="BF45" s="388">
        <f t="shared" si="48"/>
        <v>9546.6508800000011</v>
      </c>
      <c r="BG45" s="388">
        <f t="shared" si="49"/>
        <v>576.476992</v>
      </c>
      <c r="BH45" s="388">
        <f t="shared" si="50"/>
        <v>0</v>
      </c>
      <c r="BI45" s="388">
        <f t="shared" si="51"/>
        <v>442.552032</v>
      </c>
      <c r="BJ45" s="388">
        <f t="shared" si="52"/>
        <v>479.7312</v>
      </c>
      <c r="BK45" s="388">
        <f t="shared" si="53"/>
        <v>0</v>
      </c>
      <c r="BL45" s="388">
        <f t="shared" si="32"/>
        <v>17161.983904000001</v>
      </c>
      <c r="BM45" s="388">
        <f t="shared" si="33"/>
        <v>0</v>
      </c>
      <c r="BN45" s="388">
        <f t="shared" si="54"/>
        <v>13750</v>
      </c>
      <c r="BO45" s="388">
        <f t="shared" si="55"/>
        <v>0</v>
      </c>
      <c r="BP45" s="388">
        <f t="shared" si="56"/>
        <v>4957.2223999999997</v>
      </c>
      <c r="BQ45" s="388">
        <f t="shared" si="57"/>
        <v>1159.3504</v>
      </c>
      <c r="BR45" s="388">
        <f t="shared" si="58"/>
        <v>8938.99136</v>
      </c>
      <c r="BS45" s="388">
        <f t="shared" si="59"/>
        <v>576.476992</v>
      </c>
      <c r="BT45" s="388">
        <f t="shared" si="60"/>
        <v>0</v>
      </c>
      <c r="BU45" s="388">
        <f t="shared" si="61"/>
        <v>442.552032</v>
      </c>
      <c r="BV45" s="388">
        <f t="shared" si="62"/>
        <v>487.72672</v>
      </c>
      <c r="BW45" s="388">
        <f t="shared" si="63"/>
        <v>0</v>
      </c>
      <c r="BX45" s="388">
        <f t="shared" si="34"/>
        <v>16562.319904</v>
      </c>
      <c r="BY45" s="388">
        <f t="shared" si="35"/>
        <v>0</v>
      </c>
      <c r="BZ45" s="388">
        <f t="shared" si="36"/>
        <v>1250</v>
      </c>
      <c r="CA45" s="388">
        <f t="shared" si="37"/>
        <v>0</v>
      </c>
      <c r="CB45" s="388">
        <f t="shared" si="38"/>
        <v>0</v>
      </c>
      <c r="CC45" s="388">
        <f t="shared" si="64"/>
        <v>0</v>
      </c>
      <c r="CD45" s="388">
        <f t="shared" si="65"/>
        <v>-607.65952000000073</v>
      </c>
      <c r="CE45" s="388">
        <f t="shared" si="66"/>
        <v>0</v>
      </c>
      <c r="CF45" s="388">
        <f t="shared" si="67"/>
        <v>0</v>
      </c>
      <c r="CG45" s="388">
        <f t="shared" si="68"/>
        <v>0</v>
      </c>
      <c r="CH45" s="388">
        <f t="shared" si="69"/>
        <v>7.9955200000000204</v>
      </c>
      <c r="CI45" s="388">
        <f t="shared" si="70"/>
        <v>0</v>
      </c>
      <c r="CJ45" s="388">
        <f t="shared" si="39"/>
        <v>-599.66400000000067</v>
      </c>
      <c r="CK45" s="388" t="str">
        <f t="shared" si="40"/>
        <v/>
      </c>
      <c r="CL45" s="388" t="str">
        <f t="shared" si="41"/>
        <v/>
      </c>
      <c r="CM45" s="388" t="str">
        <f t="shared" si="42"/>
        <v/>
      </c>
      <c r="CN45" s="388" t="str">
        <f t="shared" si="43"/>
        <v>0229-20</v>
      </c>
    </row>
    <row r="46" spans="1:92" ht="15.75" thickBot="1">
      <c r="A46" s="377" t="s">
        <v>162</v>
      </c>
      <c r="B46" s="377" t="s">
        <v>163</v>
      </c>
      <c r="C46" s="377" t="s">
        <v>398</v>
      </c>
      <c r="D46" s="377" t="s">
        <v>399</v>
      </c>
      <c r="E46" s="377" t="s">
        <v>166</v>
      </c>
      <c r="F46" s="378" t="s">
        <v>167</v>
      </c>
      <c r="G46" s="377" t="s">
        <v>168</v>
      </c>
      <c r="H46" s="379"/>
      <c r="I46" s="379"/>
      <c r="J46" s="377" t="s">
        <v>169</v>
      </c>
      <c r="K46" s="377" t="s">
        <v>400</v>
      </c>
      <c r="L46" s="377" t="s">
        <v>182</v>
      </c>
      <c r="M46" s="377" t="s">
        <v>172</v>
      </c>
      <c r="N46" s="377" t="s">
        <v>173</v>
      </c>
      <c r="O46" s="380">
        <v>1</v>
      </c>
      <c r="P46" s="386">
        <v>1</v>
      </c>
      <c r="Q46" s="386">
        <v>1</v>
      </c>
      <c r="R46" s="381">
        <v>80</v>
      </c>
      <c r="S46" s="386">
        <v>1</v>
      </c>
      <c r="T46" s="381">
        <v>84615.71</v>
      </c>
      <c r="U46" s="381">
        <v>0</v>
      </c>
      <c r="V46" s="381">
        <v>29761.919999999998</v>
      </c>
      <c r="W46" s="381">
        <v>88088</v>
      </c>
      <c r="X46" s="381">
        <v>31408.05</v>
      </c>
      <c r="Y46" s="381">
        <v>88088</v>
      </c>
      <c r="Z46" s="381">
        <v>31997.39</v>
      </c>
      <c r="AA46" s="377" t="s">
        <v>401</v>
      </c>
      <c r="AB46" s="377" t="s">
        <v>402</v>
      </c>
      <c r="AC46" s="377" t="s">
        <v>403</v>
      </c>
      <c r="AD46" s="377" t="s">
        <v>261</v>
      </c>
      <c r="AE46" s="377" t="s">
        <v>400</v>
      </c>
      <c r="AF46" s="377" t="s">
        <v>268</v>
      </c>
      <c r="AG46" s="377" t="s">
        <v>179</v>
      </c>
      <c r="AH46" s="382">
        <v>42.35</v>
      </c>
      <c r="AI46" s="380">
        <v>14270</v>
      </c>
      <c r="AJ46" s="377" t="s">
        <v>180</v>
      </c>
      <c r="AK46" s="377" t="s">
        <v>181</v>
      </c>
      <c r="AL46" s="377" t="s">
        <v>182</v>
      </c>
      <c r="AM46" s="377" t="s">
        <v>183</v>
      </c>
      <c r="AN46" s="377" t="s">
        <v>66</v>
      </c>
      <c r="AO46" s="380">
        <v>80</v>
      </c>
      <c r="AP46" s="386">
        <v>1</v>
      </c>
      <c r="AQ46" s="386">
        <v>1</v>
      </c>
      <c r="AR46" s="384" t="s">
        <v>184</v>
      </c>
      <c r="AS46" s="388">
        <f t="shared" si="27"/>
        <v>1</v>
      </c>
      <c r="AT46">
        <f t="shared" si="28"/>
        <v>1</v>
      </c>
      <c r="AU46" s="388">
        <f>IF(AT46=0,"",IF(AND(AT46=1,M46="F",SUMIF(C2:C53,C46,AS2:AS53)&lt;=1),SUMIF(C2:C53,C46,AS2:AS53),IF(AND(AT46=1,M46="F",SUMIF(C2:C53,C46,AS2:AS53)&gt;1),1,"")))</f>
        <v>1</v>
      </c>
      <c r="AV46" s="388" t="str">
        <f>IF(AT46=0,"",IF(AND(AT46=3,M46="F",SUMIF(C2:C53,C46,AS2:AS53)&lt;=1),SUMIF(C2:C53,C46,AS2:AS53),IF(AND(AT46=3,M46="F",SUMIF(C2:C53,C46,AS2:AS53)&gt;1),1,"")))</f>
        <v/>
      </c>
      <c r="AW46" s="388">
        <f>SUMIF(C2:C53,C46,O2:O53)</f>
        <v>1</v>
      </c>
      <c r="AX46" s="388">
        <f>IF(AND(M46="F",AS46&lt;&gt;0),SUMIF(C2:C53,C46,W2:W53),0)</f>
        <v>88088</v>
      </c>
      <c r="AY46" s="388">
        <f t="shared" si="29"/>
        <v>88088</v>
      </c>
      <c r="AZ46" s="388" t="str">
        <f t="shared" si="30"/>
        <v/>
      </c>
      <c r="BA46" s="388">
        <f t="shared" si="31"/>
        <v>0</v>
      </c>
      <c r="BB46" s="388">
        <f t="shared" si="44"/>
        <v>12500</v>
      </c>
      <c r="BC46" s="388">
        <f t="shared" si="45"/>
        <v>0</v>
      </c>
      <c r="BD46" s="388">
        <f t="shared" si="46"/>
        <v>5461.4560000000001</v>
      </c>
      <c r="BE46" s="388">
        <f t="shared" si="47"/>
        <v>1277.2760000000001</v>
      </c>
      <c r="BF46" s="388">
        <f t="shared" si="48"/>
        <v>10517.707200000001</v>
      </c>
      <c r="BG46" s="388">
        <f t="shared" si="49"/>
        <v>635.11448000000007</v>
      </c>
      <c r="BH46" s="388">
        <f t="shared" si="50"/>
        <v>0</v>
      </c>
      <c r="BI46" s="388">
        <f t="shared" si="51"/>
        <v>487.56707999999998</v>
      </c>
      <c r="BJ46" s="388">
        <f t="shared" si="52"/>
        <v>528.52800000000002</v>
      </c>
      <c r="BK46" s="388">
        <f t="shared" si="53"/>
        <v>0</v>
      </c>
      <c r="BL46" s="388">
        <f t="shared" si="32"/>
        <v>18907.64876</v>
      </c>
      <c r="BM46" s="388">
        <f t="shared" si="33"/>
        <v>0</v>
      </c>
      <c r="BN46" s="388">
        <f t="shared" si="54"/>
        <v>13750</v>
      </c>
      <c r="BO46" s="388">
        <f t="shared" si="55"/>
        <v>0</v>
      </c>
      <c r="BP46" s="388">
        <f t="shared" si="56"/>
        <v>5461.4560000000001</v>
      </c>
      <c r="BQ46" s="388">
        <f t="shared" si="57"/>
        <v>1277.2760000000001</v>
      </c>
      <c r="BR46" s="388">
        <f t="shared" si="58"/>
        <v>9848.2384000000002</v>
      </c>
      <c r="BS46" s="388">
        <f t="shared" si="59"/>
        <v>635.11448000000007</v>
      </c>
      <c r="BT46" s="388">
        <f t="shared" si="60"/>
        <v>0</v>
      </c>
      <c r="BU46" s="388">
        <f t="shared" si="61"/>
        <v>487.56707999999998</v>
      </c>
      <c r="BV46" s="388">
        <f t="shared" si="62"/>
        <v>537.33680000000004</v>
      </c>
      <c r="BW46" s="388">
        <f t="shared" si="63"/>
        <v>0</v>
      </c>
      <c r="BX46" s="388">
        <f t="shared" si="34"/>
        <v>18246.98876</v>
      </c>
      <c r="BY46" s="388">
        <f t="shared" si="35"/>
        <v>0</v>
      </c>
      <c r="BZ46" s="388">
        <f t="shared" si="36"/>
        <v>1250</v>
      </c>
      <c r="CA46" s="388">
        <f t="shared" si="37"/>
        <v>0</v>
      </c>
      <c r="CB46" s="388">
        <f t="shared" si="38"/>
        <v>0</v>
      </c>
      <c r="CC46" s="388">
        <f t="shared" si="64"/>
        <v>0</v>
      </c>
      <c r="CD46" s="388">
        <f t="shared" si="65"/>
        <v>-669.46880000000078</v>
      </c>
      <c r="CE46" s="388">
        <f t="shared" si="66"/>
        <v>0</v>
      </c>
      <c r="CF46" s="388">
        <f t="shared" si="67"/>
        <v>0</v>
      </c>
      <c r="CG46" s="388">
        <f t="shared" si="68"/>
        <v>0</v>
      </c>
      <c r="CH46" s="388">
        <f t="shared" si="69"/>
        <v>8.8088000000000228</v>
      </c>
      <c r="CI46" s="388">
        <f t="shared" si="70"/>
        <v>0</v>
      </c>
      <c r="CJ46" s="388">
        <f t="shared" si="39"/>
        <v>-660.66000000000076</v>
      </c>
      <c r="CK46" s="388" t="str">
        <f t="shared" si="40"/>
        <v/>
      </c>
      <c r="CL46" s="388" t="str">
        <f t="shared" si="41"/>
        <v/>
      </c>
      <c r="CM46" s="388" t="str">
        <f t="shared" si="42"/>
        <v/>
      </c>
      <c r="CN46" s="388" t="str">
        <f t="shared" si="43"/>
        <v>0229-20</v>
      </c>
    </row>
    <row r="47" spans="1:92" ht="15.75" thickBot="1">
      <c r="A47" s="377" t="s">
        <v>162</v>
      </c>
      <c r="B47" s="377" t="s">
        <v>163</v>
      </c>
      <c r="C47" s="377" t="s">
        <v>404</v>
      </c>
      <c r="D47" s="377" t="s">
        <v>186</v>
      </c>
      <c r="E47" s="377" t="s">
        <v>166</v>
      </c>
      <c r="F47" s="378" t="s">
        <v>167</v>
      </c>
      <c r="G47" s="377" t="s">
        <v>168</v>
      </c>
      <c r="H47" s="379"/>
      <c r="I47" s="379"/>
      <c r="J47" s="377" t="s">
        <v>169</v>
      </c>
      <c r="K47" s="377" t="s">
        <v>187</v>
      </c>
      <c r="L47" s="377" t="s">
        <v>188</v>
      </c>
      <c r="M47" s="377" t="s">
        <v>172</v>
      </c>
      <c r="N47" s="377" t="s">
        <v>173</v>
      </c>
      <c r="O47" s="380">
        <v>1</v>
      </c>
      <c r="P47" s="386">
        <v>1</v>
      </c>
      <c r="Q47" s="386">
        <v>1</v>
      </c>
      <c r="R47" s="381">
        <v>80</v>
      </c>
      <c r="S47" s="386">
        <v>1</v>
      </c>
      <c r="T47" s="381">
        <v>45914.42</v>
      </c>
      <c r="U47" s="381">
        <v>0</v>
      </c>
      <c r="V47" s="381">
        <v>18054.97</v>
      </c>
      <c r="W47" s="381">
        <v>66601.600000000006</v>
      </c>
      <c r="X47" s="381">
        <v>26796</v>
      </c>
      <c r="Y47" s="381">
        <v>66601.600000000006</v>
      </c>
      <c r="Z47" s="381">
        <v>27546.48</v>
      </c>
      <c r="AA47" s="377" t="s">
        <v>405</v>
      </c>
      <c r="AB47" s="377" t="s">
        <v>406</v>
      </c>
      <c r="AC47" s="377" t="s">
        <v>407</v>
      </c>
      <c r="AD47" s="377" t="s">
        <v>192</v>
      </c>
      <c r="AE47" s="377" t="s">
        <v>187</v>
      </c>
      <c r="AF47" s="377" t="s">
        <v>193</v>
      </c>
      <c r="AG47" s="377" t="s">
        <v>179</v>
      </c>
      <c r="AH47" s="382">
        <v>32.020000000000003</v>
      </c>
      <c r="AI47" s="382">
        <v>13064.7</v>
      </c>
      <c r="AJ47" s="377" t="s">
        <v>180</v>
      </c>
      <c r="AK47" s="377" t="s">
        <v>181</v>
      </c>
      <c r="AL47" s="377" t="s">
        <v>182</v>
      </c>
      <c r="AM47" s="377" t="s">
        <v>183</v>
      </c>
      <c r="AN47" s="377" t="s">
        <v>66</v>
      </c>
      <c r="AO47" s="380">
        <v>80</v>
      </c>
      <c r="AP47" s="386">
        <v>1</v>
      </c>
      <c r="AQ47" s="386">
        <v>1</v>
      </c>
      <c r="AR47" s="384" t="s">
        <v>184</v>
      </c>
      <c r="AS47" s="388">
        <f t="shared" si="27"/>
        <v>1</v>
      </c>
      <c r="AT47">
        <f t="shared" si="28"/>
        <v>1</v>
      </c>
      <c r="AU47" s="388">
        <f>IF(AT47=0,"",IF(AND(AT47=1,M47="F",SUMIF(C2:C53,C47,AS2:AS53)&lt;=1),SUMIF(C2:C53,C47,AS2:AS53),IF(AND(AT47=1,M47="F",SUMIF(C2:C53,C47,AS2:AS53)&gt;1),1,"")))</f>
        <v>1</v>
      </c>
      <c r="AV47" s="388" t="str">
        <f>IF(AT47=0,"",IF(AND(AT47=3,M47="F",SUMIF(C2:C53,C47,AS2:AS53)&lt;=1),SUMIF(C2:C53,C47,AS2:AS53),IF(AND(AT47=3,M47="F",SUMIF(C2:C53,C47,AS2:AS53)&gt;1),1,"")))</f>
        <v/>
      </c>
      <c r="AW47" s="388">
        <f>SUMIF(C2:C53,C47,O2:O53)</f>
        <v>1</v>
      </c>
      <c r="AX47" s="388">
        <f>IF(AND(M47="F",AS47&lt;&gt;0),SUMIF(C2:C53,C47,W2:W53),0)</f>
        <v>66601.600000000006</v>
      </c>
      <c r="AY47" s="388">
        <f t="shared" si="29"/>
        <v>66601.600000000006</v>
      </c>
      <c r="AZ47" s="388" t="str">
        <f t="shared" si="30"/>
        <v/>
      </c>
      <c r="BA47" s="388">
        <f t="shared" si="31"/>
        <v>0</v>
      </c>
      <c r="BB47" s="388">
        <f t="shared" si="44"/>
        <v>12500</v>
      </c>
      <c r="BC47" s="388">
        <f t="shared" si="45"/>
        <v>0</v>
      </c>
      <c r="BD47" s="388">
        <f t="shared" si="46"/>
        <v>4129.2992000000004</v>
      </c>
      <c r="BE47" s="388">
        <f t="shared" si="47"/>
        <v>965.72320000000013</v>
      </c>
      <c r="BF47" s="388">
        <f t="shared" si="48"/>
        <v>7952.2310400000015</v>
      </c>
      <c r="BG47" s="388">
        <f t="shared" si="49"/>
        <v>480.19753600000007</v>
      </c>
      <c r="BH47" s="388">
        <f t="shared" si="50"/>
        <v>0</v>
      </c>
      <c r="BI47" s="388">
        <f t="shared" si="51"/>
        <v>368.63985600000001</v>
      </c>
      <c r="BJ47" s="388">
        <f t="shared" si="52"/>
        <v>399.60960000000006</v>
      </c>
      <c r="BK47" s="388">
        <f t="shared" si="53"/>
        <v>0</v>
      </c>
      <c r="BL47" s="388">
        <f t="shared" si="32"/>
        <v>14295.700432000001</v>
      </c>
      <c r="BM47" s="388">
        <f t="shared" si="33"/>
        <v>0</v>
      </c>
      <c r="BN47" s="388">
        <f t="shared" si="54"/>
        <v>13750</v>
      </c>
      <c r="BO47" s="388">
        <f t="shared" si="55"/>
        <v>0</v>
      </c>
      <c r="BP47" s="388">
        <f t="shared" si="56"/>
        <v>4129.2992000000004</v>
      </c>
      <c r="BQ47" s="388">
        <f t="shared" si="57"/>
        <v>965.72320000000013</v>
      </c>
      <c r="BR47" s="388">
        <f t="shared" si="58"/>
        <v>7446.0588800000005</v>
      </c>
      <c r="BS47" s="388">
        <f t="shared" si="59"/>
        <v>480.19753600000007</v>
      </c>
      <c r="BT47" s="388">
        <f t="shared" si="60"/>
        <v>0</v>
      </c>
      <c r="BU47" s="388">
        <f t="shared" si="61"/>
        <v>368.63985600000001</v>
      </c>
      <c r="BV47" s="388">
        <f t="shared" si="62"/>
        <v>406.26976000000008</v>
      </c>
      <c r="BW47" s="388">
        <f t="shared" si="63"/>
        <v>0</v>
      </c>
      <c r="BX47" s="388">
        <f t="shared" si="34"/>
        <v>13796.188432000001</v>
      </c>
      <c r="BY47" s="388">
        <f t="shared" si="35"/>
        <v>0</v>
      </c>
      <c r="BZ47" s="388">
        <f t="shared" si="36"/>
        <v>1250</v>
      </c>
      <c r="CA47" s="388">
        <f t="shared" si="37"/>
        <v>0</v>
      </c>
      <c r="CB47" s="388">
        <f t="shared" si="38"/>
        <v>0</v>
      </c>
      <c r="CC47" s="388">
        <f t="shared" si="64"/>
        <v>0</v>
      </c>
      <c r="CD47" s="388">
        <f t="shared" si="65"/>
        <v>-506.1721600000007</v>
      </c>
      <c r="CE47" s="388">
        <f t="shared" si="66"/>
        <v>0</v>
      </c>
      <c r="CF47" s="388">
        <f t="shared" si="67"/>
        <v>0</v>
      </c>
      <c r="CG47" s="388">
        <f t="shared" si="68"/>
        <v>0</v>
      </c>
      <c r="CH47" s="388">
        <f t="shared" si="69"/>
        <v>6.6601600000000181</v>
      </c>
      <c r="CI47" s="388">
        <f t="shared" si="70"/>
        <v>0</v>
      </c>
      <c r="CJ47" s="388">
        <f t="shared" si="39"/>
        <v>-499.51200000000068</v>
      </c>
      <c r="CK47" s="388" t="str">
        <f t="shared" si="40"/>
        <v/>
      </c>
      <c r="CL47" s="388" t="str">
        <f t="shared" si="41"/>
        <v/>
      </c>
      <c r="CM47" s="388" t="str">
        <f t="shared" si="42"/>
        <v/>
      </c>
      <c r="CN47" s="388" t="str">
        <f t="shared" si="43"/>
        <v>0229-20</v>
      </c>
    </row>
    <row r="48" spans="1:92" ht="15.75" thickBot="1">
      <c r="A48" s="377" t="s">
        <v>162</v>
      </c>
      <c r="B48" s="377" t="s">
        <v>163</v>
      </c>
      <c r="C48" s="377" t="s">
        <v>408</v>
      </c>
      <c r="D48" s="377" t="s">
        <v>409</v>
      </c>
      <c r="E48" s="377" t="s">
        <v>166</v>
      </c>
      <c r="F48" s="378" t="s">
        <v>167</v>
      </c>
      <c r="G48" s="377" t="s">
        <v>168</v>
      </c>
      <c r="H48" s="379"/>
      <c r="I48" s="379"/>
      <c r="J48" s="377" t="s">
        <v>169</v>
      </c>
      <c r="K48" s="377" t="s">
        <v>410</v>
      </c>
      <c r="L48" s="377" t="s">
        <v>182</v>
      </c>
      <c r="M48" s="377" t="s">
        <v>172</v>
      </c>
      <c r="N48" s="377" t="s">
        <v>173</v>
      </c>
      <c r="O48" s="380">
        <v>1</v>
      </c>
      <c r="P48" s="386">
        <v>1</v>
      </c>
      <c r="Q48" s="386">
        <v>1</v>
      </c>
      <c r="R48" s="381">
        <v>80</v>
      </c>
      <c r="S48" s="386">
        <v>1</v>
      </c>
      <c r="T48" s="381">
        <v>16126.4</v>
      </c>
      <c r="U48" s="381">
        <v>0</v>
      </c>
      <c r="V48" s="381">
        <v>5960.22</v>
      </c>
      <c r="W48" s="381">
        <v>70220.800000000003</v>
      </c>
      <c r="X48" s="381">
        <v>27572.87</v>
      </c>
      <c r="Y48" s="381">
        <v>70220.800000000003</v>
      </c>
      <c r="Z48" s="381">
        <v>28296.21</v>
      </c>
      <c r="AA48" s="377" t="s">
        <v>411</v>
      </c>
      <c r="AB48" s="377" t="s">
        <v>412</v>
      </c>
      <c r="AC48" s="377" t="s">
        <v>413</v>
      </c>
      <c r="AD48" s="377" t="s">
        <v>281</v>
      </c>
      <c r="AE48" s="377" t="s">
        <v>410</v>
      </c>
      <c r="AF48" s="377" t="s">
        <v>268</v>
      </c>
      <c r="AG48" s="377" t="s">
        <v>179</v>
      </c>
      <c r="AH48" s="382">
        <v>33.76</v>
      </c>
      <c r="AI48" s="382">
        <v>3235.1</v>
      </c>
      <c r="AJ48" s="377" t="s">
        <v>180</v>
      </c>
      <c r="AK48" s="377" t="s">
        <v>181</v>
      </c>
      <c r="AL48" s="377" t="s">
        <v>182</v>
      </c>
      <c r="AM48" s="377" t="s">
        <v>183</v>
      </c>
      <c r="AN48" s="377" t="s">
        <v>66</v>
      </c>
      <c r="AO48" s="380">
        <v>80</v>
      </c>
      <c r="AP48" s="386">
        <v>1</v>
      </c>
      <c r="AQ48" s="386">
        <v>1</v>
      </c>
      <c r="AR48" s="384" t="s">
        <v>184</v>
      </c>
      <c r="AS48" s="388">
        <f t="shared" si="27"/>
        <v>1</v>
      </c>
      <c r="AT48">
        <f t="shared" si="28"/>
        <v>1</v>
      </c>
      <c r="AU48" s="388">
        <f>IF(AT48=0,"",IF(AND(AT48=1,M48="F",SUMIF(C2:C53,C48,AS2:AS53)&lt;=1),SUMIF(C2:C53,C48,AS2:AS53),IF(AND(AT48=1,M48="F",SUMIF(C2:C53,C48,AS2:AS53)&gt;1),1,"")))</f>
        <v>1</v>
      </c>
      <c r="AV48" s="388" t="str">
        <f>IF(AT48=0,"",IF(AND(AT48=3,M48="F",SUMIF(C2:C53,C48,AS2:AS53)&lt;=1),SUMIF(C2:C53,C48,AS2:AS53),IF(AND(AT48=3,M48="F",SUMIF(C2:C53,C48,AS2:AS53)&gt;1),1,"")))</f>
        <v/>
      </c>
      <c r="AW48" s="388">
        <f>SUMIF(C2:C53,C48,O2:O53)</f>
        <v>1</v>
      </c>
      <c r="AX48" s="388">
        <f>IF(AND(M48="F",AS48&lt;&gt;0),SUMIF(C2:C53,C48,W2:W53),0)</f>
        <v>70220.800000000003</v>
      </c>
      <c r="AY48" s="388">
        <f t="shared" si="29"/>
        <v>70220.800000000003</v>
      </c>
      <c r="AZ48" s="388" t="str">
        <f t="shared" si="30"/>
        <v/>
      </c>
      <c r="BA48" s="388">
        <f t="shared" si="31"/>
        <v>0</v>
      </c>
      <c r="BB48" s="388">
        <f t="shared" si="44"/>
        <v>12500</v>
      </c>
      <c r="BC48" s="388">
        <f t="shared" si="45"/>
        <v>0</v>
      </c>
      <c r="BD48" s="388">
        <f t="shared" si="46"/>
        <v>4353.6895999999997</v>
      </c>
      <c r="BE48" s="388">
        <f t="shared" si="47"/>
        <v>1018.2016000000001</v>
      </c>
      <c r="BF48" s="388">
        <f t="shared" si="48"/>
        <v>8384.3635200000008</v>
      </c>
      <c r="BG48" s="388">
        <f t="shared" si="49"/>
        <v>506.29196800000005</v>
      </c>
      <c r="BH48" s="388">
        <f t="shared" si="50"/>
        <v>0</v>
      </c>
      <c r="BI48" s="388">
        <f t="shared" si="51"/>
        <v>388.67212800000004</v>
      </c>
      <c r="BJ48" s="388">
        <f t="shared" si="52"/>
        <v>421.32480000000004</v>
      </c>
      <c r="BK48" s="388">
        <f t="shared" si="53"/>
        <v>0</v>
      </c>
      <c r="BL48" s="388">
        <f t="shared" si="32"/>
        <v>15072.543616000001</v>
      </c>
      <c r="BM48" s="388">
        <f t="shared" si="33"/>
        <v>0</v>
      </c>
      <c r="BN48" s="388">
        <f t="shared" si="54"/>
        <v>13750</v>
      </c>
      <c r="BO48" s="388">
        <f t="shared" si="55"/>
        <v>0</v>
      </c>
      <c r="BP48" s="388">
        <f t="shared" si="56"/>
        <v>4353.6895999999997</v>
      </c>
      <c r="BQ48" s="388">
        <f t="shared" si="57"/>
        <v>1018.2016000000001</v>
      </c>
      <c r="BR48" s="388">
        <f t="shared" si="58"/>
        <v>7850.6854400000002</v>
      </c>
      <c r="BS48" s="388">
        <f t="shared" si="59"/>
        <v>506.29196800000005</v>
      </c>
      <c r="BT48" s="388">
        <f t="shared" si="60"/>
        <v>0</v>
      </c>
      <c r="BU48" s="388">
        <f t="shared" si="61"/>
        <v>388.67212800000004</v>
      </c>
      <c r="BV48" s="388">
        <f t="shared" si="62"/>
        <v>428.34688000000006</v>
      </c>
      <c r="BW48" s="388">
        <f t="shared" si="63"/>
        <v>0</v>
      </c>
      <c r="BX48" s="388">
        <f t="shared" si="34"/>
        <v>14545.887616</v>
      </c>
      <c r="BY48" s="388">
        <f t="shared" si="35"/>
        <v>0</v>
      </c>
      <c r="BZ48" s="388">
        <f t="shared" si="36"/>
        <v>1250</v>
      </c>
      <c r="CA48" s="388">
        <f t="shared" si="37"/>
        <v>0</v>
      </c>
      <c r="CB48" s="388">
        <f t="shared" si="38"/>
        <v>0</v>
      </c>
      <c r="CC48" s="388">
        <f t="shared" si="64"/>
        <v>0</v>
      </c>
      <c r="CD48" s="388">
        <f t="shared" si="65"/>
        <v>-533.6780800000007</v>
      </c>
      <c r="CE48" s="388">
        <f t="shared" si="66"/>
        <v>0</v>
      </c>
      <c r="CF48" s="388">
        <f t="shared" si="67"/>
        <v>0</v>
      </c>
      <c r="CG48" s="388">
        <f t="shared" si="68"/>
        <v>0</v>
      </c>
      <c r="CH48" s="388">
        <f t="shared" si="69"/>
        <v>7.0220800000000185</v>
      </c>
      <c r="CI48" s="388">
        <f t="shared" si="70"/>
        <v>0</v>
      </c>
      <c r="CJ48" s="388">
        <f t="shared" si="39"/>
        <v>-526.65600000000063</v>
      </c>
      <c r="CK48" s="388" t="str">
        <f t="shared" si="40"/>
        <v/>
      </c>
      <c r="CL48" s="388" t="str">
        <f t="shared" si="41"/>
        <v/>
      </c>
      <c r="CM48" s="388" t="str">
        <f t="shared" si="42"/>
        <v/>
      </c>
      <c r="CN48" s="388" t="str">
        <f t="shared" si="43"/>
        <v>0229-20</v>
      </c>
    </row>
    <row r="49" spans="1:92" ht="15.75" thickBot="1">
      <c r="A49" s="377" t="s">
        <v>162</v>
      </c>
      <c r="B49" s="377" t="s">
        <v>163</v>
      </c>
      <c r="C49" s="377" t="s">
        <v>414</v>
      </c>
      <c r="D49" s="377" t="s">
        <v>277</v>
      </c>
      <c r="E49" s="377" t="s">
        <v>166</v>
      </c>
      <c r="F49" s="378" t="s">
        <v>167</v>
      </c>
      <c r="G49" s="377" t="s">
        <v>168</v>
      </c>
      <c r="H49" s="379"/>
      <c r="I49" s="379"/>
      <c r="J49" s="377" t="s">
        <v>169</v>
      </c>
      <c r="K49" s="377" t="s">
        <v>278</v>
      </c>
      <c r="L49" s="377" t="s">
        <v>188</v>
      </c>
      <c r="M49" s="377" t="s">
        <v>172</v>
      </c>
      <c r="N49" s="377" t="s">
        <v>173</v>
      </c>
      <c r="O49" s="380">
        <v>1</v>
      </c>
      <c r="P49" s="386">
        <v>1</v>
      </c>
      <c r="Q49" s="386">
        <v>1</v>
      </c>
      <c r="R49" s="381">
        <v>80</v>
      </c>
      <c r="S49" s="386">
        <v>1</v>
      </c>
      <c r="T49" s="381">
        <v>73999.27</v>
      </c>
      <c r="U49" s="381">
        <v>0</v>
      </c>
      <c r="V49" s="381">
        <v>27395.47</v>
      </c>
      <c r="W49" s="381">
        <v>78915.199999999997</v>
      </c>
      <c r="X49" s="381">
        <v>29439.13</v>
      </c>
      <c r="Y49" s="381">
        <v>78915.199999999997</v>
      </c>
      <c r="Z49" s="381">
        <v>30097.26</v>
      </c>
      <c r="AA49" s="377" t="s">
        <v>415</v>
      </c>
      <c r="AB49" s="377" t="s">
        <v>416</v>
      </c>
      <c r="AC49" s="377" t="s">
        <v>417</v>
      </c>
      <c r="AD49" s="377" t="s">
        <v>212</v>
      </c>
      <c r="AE49" s="377" t="s">
        <v>278</v>
      </c>
      <c r="AF49" s="377" t="s">
        <v>193</v>
      </c>
      <c r="AG49" s="377" t="s">
        <v>179</v>
      </c>
      <c r="AH49" s="382">
        <v>37.94</v>
      </c>
      <c r="AI49" s="382">
        <v>63982.7</v>
      </c>
      <c r="AJ49" s="377" t="s">
        <v>180</v>
      </c>
      <c r="AK49" s="377" t="s">
        <v>181</v>
      </c>
      <c r="AL49" s="377" t="s">
        <v>182</v>
      </c>
      <c r="AM49" s="377" t="s">
        <v>183</v>
      </c>
      <c r="AN49" s="377" t="s">
        <v>66</v>
      </c>
      <c r="AO49" s="380">
        <v>80</v>
      </c>
      <c r="AP49" s="386">
        <v>1</v>
      </c>
      <c r="AQ49" s="386">
        <v>1</v>
      </c>
      <c r="AR49" s="384" t="s">
        <v>184</v>
      </c>
      <c r="AS49" s="388">
        <f t="shared" si="27"/>
        <v>1</v>
      </c>
      <c r="AT49">
        <f t="shared" si="28"/>
        <v>1</v>
      </c>
      <c r="AU49" s="388">
        <f>IF(AT49=0,"",IF(AND(AT49=1,M49="F",SUMIF(C2:C53,C49,AS2:AS53)&lt;=1),SUMIF(C2:C53,C49,AS2:AS53),IF(AND(AT49=1,M49="F",SUMIF(C2:C53,C49,AS2:AS53)&gt;1),1,"")))</f>
        <v>1</v>
      </c>
      <c r="AV49" s="388" t="str">
        <f>IF(AT49=0,"",IF(AND(AT49=3,M49="F",SUMIF(C2:C53,C49,AS2:AS53)&lt;=1),SUMIF(C2:C53,C49,AS2:AS53),IF(AND(AT49=3,M49="F",SUMIF(C2:C53,C49,AS2:AS53)&gt;1),1,"")))</f>
        <v/>
      </c>
      <c r="AW49" s="388">
        <f>SUMIF(C2:C53,C49,O2:O53)</f>
        <v>1</v>
      </c>
      <c r="AX49" s="388">
        <f>IF(AND(M49="F",AS49&lt;&gt;0),SUMIF(C2:C53,C49,W2:W53),0)</f>
        <v>78915.199999999997</v>
      </c>
      <c r="AY49" s="388">
        <f t="shared" si="29"/>
        <v>78915.199999999997</v>
      </c>
      <c r="AZ49" s="388" t="str">
        <f t="shared" si="30"/>
        <v/>
      </c>
      <c r="BA49" s="388">
        <f t="shared" si="31"/>
        <v>0</v>
      </c>
      <c r="BB49" s="388">
        <f t="shared" si="44"/>
        <v>12500</v>
      </c>
      <c r="BC49" s="388">
        <f t="shared" si="45"/>
        <v>0</v>
      </c>
      <c r="BD49" s="388">
        <f t="shared" si="46"/>
        <v>4892.7424000000001</v>
      </c>
      <c r="BE49" s="388">
        <f t="shared" si="47"/>
        <v>1144.2704000000001</v>
      </c>
      <c r="BF49" s="388">
        <f t="shared" si="48"/>
        <v>9422.4748799999998</v>
      </c>
      <c r="BG49" s="388">
        <f t="shared" si="49"/>
        <v>568.97859200000005</v>
      </c>
      <c r="BH49" s="388">
        <f t="shared" si="50"/>
        <v>0</v>
      </c>
      <c r="BI49" s="388">
        <f t="shared" si="51"/>
        <v>436.79563199999996</v>
      </c>
      <c r="BJ49" s="388">
        <f t="shared" si="52"/>
        <v>473.49119999999999</v>
      </c>
      <c r="BK49" s="388">
        <f t="shared" si="53"/>
        <v>0</v>
      </c>
      <c r="BL49" s="388">
        <f t="shared" si="32"/>
        <v>16938.753103999999</v>
      </c>
      <c r="BM49" s="388">
        <f t="shared" si="33"/>
        <v>0</v>
      </c>
      <c r="BN49" s="388">
        <f t="shared" si="54"/>
        <v>13750</v>
      </c>
      <c r="BO49" s="388">
        <f t="shared" si="55"/>
        <v>0</v>
      </c>
      <c r="BP49" s="388">
        <f t="shared" si="56"/>
        <v>4892.7424000000001</v>
      </c>
      <c r="BQ49" s="388">
        <f t="shared" si="57"/>
        <v>1144.2704000000001</v>
      </c>
      <c r="BR49" s="388">
        <f t="shared" si="58"/>
        <v>8822.7193599999991</v>
      </c>
      <c r="BS49" s="388">
        <f t="shared" si="59"/>
        <v>568.97859200000005</v>
      </c>
      <c r="BT49" s="388">
        <f t="shared" si="60"/>
        <v>0</v>
      </c>
      <c r="BU49" s="388">
        <f t="shared" si="61"/>
        <v>436.79563199999996</v>
      </c>
      <c r="BV49" s="388">
        <f t="shared" si="62"/>
        <v>481.38272000000001</v>
      </c>
      <c r="BW49" s="388">
        <f t="shared" si="63"/>
        <v>0</v>
      </c>
      <c r="BX49" s="388">
        <f t="shared" si="34"/>
        <v>16346.889103999998</v>
      </c>
      <c r="BY49" s="388">
        <f t="shared" si="35"/>
        <v>0</v>
      </c>
      <c r="BZ49" s="388">
        <f t="shared" si="36"/>
        <v>1250</v>
      </c>
      <c r="CA49" s="388">
        <f t="shared" si="37"/>
        <v>0</v>
      </c>
      <c r="CB49" s="388">
        <f t="shared" si="38"/>
        <v>0</v>
      </c>
      <c r="CC49" s="388">
        <f t="shared" si="64"/>
        <v>0</v>
      </c>
      <c r="CD49" s="388">
        <f t="shared" si="65"/>
        <v>-599.75552000000073</v>
      </c>
      <c r="CE49" s="388">
        <f t="shared" si="66"/>
        <v>0</v>
      </c>
      <c r="CF49" s="388">
        <f t="shared" si="67"/>
        <v>0</v>
      </c>
      <c r="CG49" s="388">
        <f t="shared" si="68"/>
        <v>0</v>
      </c>
      <c r="CH49" s="388">
        <f t="shared" si="69"/>
        <v>7.8915200000000203</v>
      </c>
      <c r="CI49" s="388">
        <f t="shared" si="70"/>
        <v>0</v>
      </c>
      <c r="CJ49" s="388">
        <f t="shared" si="39"/>
        <v>-591.86400000000071</v>
      </c>
      <c r="CK49" s="388" t="str">
        <f t="shared" si="40"/>
        <v/>
      </c>
      <c r="CL49" s="388" t="str">
        <f t="shared" si="41"/>
        <v/>
      </c>
      <c r="CM49" s="388" t="str">
        <f t="shared" si="42"/>
        <v/>
      </c>
      <c r="CN49" s="388" t="str">
        <f t="shared" si="43"/>
        <v>0229-20</v>
      </c>
    </row>
    <row r="50" spans="1:92" ht="15.75" thickBot="1">
      <c r="A50" s="377" t="s">
        <v>162</v>
      </c>
      <c r="B50" s="377" t="s">
        <v>163</v>
      </c>
      <c r="C50" s="377" t="s">
        <v>418</v>
      </c>
      <c r="D50" s="377" t="s">
        <v>399</v>
      </c>
      <c r="E50" s="377" t="s">
        <v>166</v>
      </c>
      <c r="F50" s="378" t="s">
        <v>167</v>
      </c>
      <c r="G50" s="377" t="s">
        <v>168</v>
      </c>
      <c r="H50" s="379"/>
      <c r="I50" s="379"/>
      <c r="J50" s="377" t="s">
        <v>169</v>
      </c>
      <c r="K50" s="377" t="s">
        <v>400</v>
      </c>
      <c r="L50" s="377" t="s">
        <v>182</v>
      </c>
      <c r="M50" s="377" t="s">
        <v>172</v>
      </c>
      <c r="N50" s="377" t="s">
        <v>173</v>
      </c>
      <c r="O50" s="380">
        <v>1</v>
      </c>
      <c r="P50" s="386">
        <v>1</v>
      </c>
      <c r="Q50" s="386">
        <v>1</v>
      </c>
      <c r="R50" s="381">
        <v>80</v>
      </c>
      <c r="S50" s="386">
        <v>1</v>
      </c>
      <c r="T50" s="381">
        <v>0</v>
      </c>
      <c r="U50" s="381">
        <v>0</v>
      </c>
      <c r="V50" s="381">
        <v>0</v>
      </c>
      <c r="W50" s="381">
        <v>76960</v>
      </c>
      <c r="X50" s="381">
        <v>29019.45</v>
      </c>
      <c r="Y50" s="381">
        <v>76960</v>
      </c>
      <c r="Z50" s="381">
        <v>29692.240000000002</v>
      </c>
      <c r="AA50" s="377" t="s">
        <v>419</v>
      </c>
      <c r="AB50" s="377" t="s">
        <v>420</v>
      </c>
      <c r="AC50" s="377" t="s">
        <v>343</v>
      </c>
      <c r="AD50" s="377" t="s">
        <v>421</v>
      </c>
      <c r="AE50" s="377" t="s">
        <v>400</v>
      </c>
      <c r="AF50" s="377" t="s">
        <v>268</v>
      </c>
      <c r="AG50" s="377" t="s">
        <v>179</v>
      </c>
      <c r="AH50" s="380">
        <v>37</v>
      </c>
      <c r="AI50" s="380">
        <v>80</v>
      </c>
      <c r="AJ50" s="377" t="s">
        <v>180</v>
      </c>
      <c r="AK50" s="377" t="s">
        <v>181</v>
      </c>
      <c r="AL50" s="377" t="s">
        <v>182</v>
      </c>
      <c r="AM50" s="377" t="s">
        <v>183</v>
      </c>
      <c r="AN50" s="377" t="s">
        <v>66</v>
      </c>
      <c r="AO50" s="380">
        <v>80</v>
      </c>
      <c r="AP50" s="386">
        <v>1</v>
      </c>
      <c r="AQ50" s="386">
        <v>1</v>
      </c>
      <c r="AR50" s="384" t="s">
        <v>184</v>
      </c>
      <c r="AS50" s="388">
        <f t="shared" si="27"/>
        <v>1</v>
      </c>
      <c r="AT50">
        <f t="shared" si="28"/>
        <v>1</v>
      </c>
      <c r="AU50" s="388">
        <f>IF(AT50=0,"",IF(AND(AT50=1,M50="F",SUMIF(C2:C53,C50,AS2:AS53)&lt;=1),SUMIF(C2:C53,C50,AS2:AS53),IF(AND(AT50=1,M50="F",SUMIF(C2:C53,C50,AS2:AS53)&gt;1),1,"")))</f>
        <v>1</v>
      </c>
      <c r="AV50" s="388" t="str">
        <f>IF(AT50=0,"",IF(AND(AT50=3,M50="F",SUMIF(C2:C53,C50,AS2:AS53)&lt;=1),SUMIF(C2:C53,C50,AS2:AS53),IF(AND(AT50=3,M50="F",SUMIF(C2:C53,C50,AS2:AS53)&gt;1),1,"")))</f>
        <v/>
      </c>
      <c r="AW50" s="388">
        <f>SUMIF(C2:C53,C50,O2:O53)</f>
        <v>1</v>
      </c>
      <c r="AX50" s="388">
        <f>IF(AND(M50="F",AS50&lt;&gt;0),SUMIF(C2:C53,C50,W2:W53),0)</f>
        <v>76960</v>
      </c>
      <c r="AY50" s="388">
        <f t="shared" si="29"/>
        <v>76960</v>
      </c>
      <c r="AZ50" s="388" t="str">
        <f t="shared" si="30"/>
        <v/>
      </c>
      <c r="BA50" s="388">
        <f t="shared" si="31"/>
        <v>0</v>
      </c>
      <c r="BB50" s="388">
        <f t="shared" si="44"/>
        <v>12500</v>
      </c>
      <c r="BC50" s="388">
        <f t="shared" si="45"/>
        <v>0</v>
      </c>
      <c r="BD50" s="388">
        <f t="shared" si="46"/>
        <v>4771.5199999999995</v>
      </c>
      <c r="BE50" s="388">
        <f t="shared" si="47"/>
        <v>1115.92</v>
      </c>
      <c r="BF50" s="388">
        <f t="shared" si="48"/>
        <v>9189.0240000000013</v>
      </c>
      <c r="BG50" s="388">
        <f t="shared" si="49"/>
        <v>554.88160000000005</v>
      </c>
      <c r="BH50" s="388">
        <f t="shared" si="50"/>
        <v>0</v>
      </c>
      <c r="BI50" s="388">
        <f t="shared" si="51"/>
        <v>425.97359999999998</v>
      </c>
      <c r="BJ50" s="388">
        <f t="shared" si="52"/>
        <v>461.76</v>
      </c>
      <c r="BK50" s="388">
        <f t="shared" si="53"/>
        <v>0</v>
      </c>
      <c r="BL50" s="388">
        <f t="shared" si="32"/>
        <v>16519.0792</v>
      </c>
      <c r="BM50" s="388">
        <f t="shared" si="33"/>
        <v>0</v>
      </c>
      <c r="BN50" s="388">
        <f t="shared" si="54"/>
        <v>13750</v>
      </c>
      <c r="BO50" s="388">
        <f t="shared" si="55"/>
        <v>0</v>
      </c>
      <c r="BP50" s="388">
        <f t="shared" si="56"/>
        <v>4771.5199999999995</v>
      </c>
      <c r="BQ50" s="388">
        <f t="shared" si="57"/>
        <v>1115.92</v>
      </c>
      <c r="BR50" s="388">
        <f t="shared" si="58"/>
        <v>8604.1280000000006</v>
      </c>
      <c r="BS50" s="388">
        <f t="shared" si="59"/>
        <v>554.88160000000005</v>
      </c>
      <c r="BT50" s="388">
        <f t="shared" si="60"/>
        <v>0</v>
      </c>
      <c r="BU50" s="388">
        <f t="shared" si="61"/>
        <v>425.97359999999998</v>
      </c>
      <c r="BV50" s="388">
        <f t="shared" si="62"/>
        <v>469.45600000000002</v>
      </c>
      <c r="BW50" s="388">
        <f t="shared" si="63"/>
        <v>0</v>
      </c>
      <c r="BX50" s="388">
        <f t="shared" si="34"/>
        <v>15941.879199999999</v>
      </c>
      <c r="BY50" s="388">
        <f t="shared" si="35"/>
        <v>0</v>
      </c>
      <c r="BZ50" s="388">
        <f t="shared" si="36"/>
        <v>1250</v>
      </c>
      <c r="CA50" s="388">
        <f t="shared" si="37"/>
        <v>0</v>
      </c>
      <c r="CB50" s="388">
        <f t="shared" si="38"/>
        <v>0</v>
      </c>
      <c r="CC50" s="388">
        <f t="shared" si="64"/>
        <v>0</v>
      </c>
      <c r="CD50" s="388">
        <f t="shared" si="65"/>
        <v>-584.89600000000075</v>
      </c>
      <c r="CE50" s="388">
        <f t="shared" si="66"/>
        <v>0</v>
      </c>
      <c r="CF50" s="388">
        <f t="shared" si="67"/>
        <v>0</v>
      </c>
      <c r="CG50" s="388">
        <f t="shared" si="68"/>
        <v>0</v>
      </c>
      <c r="CH50" s="388">
        <f t="shared" si="69"/>
        <v>7.6960000000000202</v>
      </c>
      <c r="CI50" s="388">
        <f t="shared" si="70"/>
        <v>0</v>
      </c>
      <c r="CJ50" s="388">
        <f t="shared" si="39"/>
        <v>-577.20000000000073</v>
      </c>
      <c r="CK50" s="388" t="str">
        <f t="shared" si="40"/>
        <v/>
      </c>
      <c r="CL50" s="388" t="str">
        <f t="shared" si="41"/>
        <v/>
      </c>
      <c r="CM50" s="388" t="str">
        <f t="shared" si="42"/>
        <v/>
      </c>
      <c r="CN50" s="388" t="str">
        <f t="shared" si="43"/>
        <v>0229-20</v>
      </c>
    </row>
    <row r="51" spans="1:92" ht="15.75" thickBot="1">
      <c r="A51" s="377" t="s">
        <v>162</v>
      </c>
      <c r="B51" s="377" t="s">
        <v>163</v>
      </c>
      <c r="C51" s="377" t="s">
        <v>340</v>
      </c>
      <c r="D51" s="377" t="s">
        <v>241</v>
      </c>
      <c r="E51" s="377" t="s">
        <v>422</v>
      </c>
      <c r="F51" s="383" t="s">
        <v>249</v>
      </c>
      <c r="G51" s="377" t="s">
        <v>168</v>
      </c>
      <c r="H51" s="379"/>
      <c r="I51" s="379"/>
      <c r="J51" s="377" t="s">
        <v>169</v>
      </c>
      <c r="K51" s="377" t="s">
        <v>242</v>
      </c>
      <c r="L51" s="377" t="s">
        <v>212</v>
      </c>
      <c r="M51" s="377" t="s">
        <v>172</v>
      </c>
      <c r="N51" s="377" t="s">
        <v>173</v>
      </c>
      <c r="O51" s="380">
        <v>1</v>
      </c>
      <c r="P51" s="386">
        <v>0</v>
      </c>
      <c r="Q51" s="386">
        <v>0</v>
      </c>
      <c r="R51" s="381">
        <v>80</v>
      </c>
      <c r="S51" s="386">
        <v>0</v>
      </c>
      <c r="T51" s="381">
        <v>18733.599999999999</v>
      </c>
      <c r="U51" s="381">
        <v>0</v>
      </c>
      <c r="V51" s="381">
        <v>9791.44</v>
      </c>
      <c r="W51" s="381">
        <v>0</v>
      </c>
      <c r="X51" s="381">
        <v>0</v>
      </c>
      <c r="Y51" s="381">
        <v>0</v>
      </c>
      <c r="Z51" s="381">
        <v>0</v>
      </c>
      <c r="AA51" s="377" t="s">
        <v>341</v>
      </c>
      <c r="AB51" s="377" t="s">
        <v>342</v>
      </c>
      <c r="AC51" s="377" t="s">
        <v>343</v>
      </c>
      <c r="AD51" s="377" t="s">
        <v>223</v>
      </c>
      <c r="AE51" s="377" t="s">
        <v>242</v>
      </c>
      <c r="AF51" s="377" t="s">
        <v>217</v>
      </c>
      <c r="AG51" s="377" t="s">
        <v>179</v>
      </c>
      <c r="AH51" s="382">
        <v>26.78</v>
      </c>
      <c r="AI51" s="382">
        <v>671.8</v>
      </c>
      <c r="AJ51" s="377" t="s">
        <v>180</v>
      </c>
      <c r="AK51" s="377" t="s">
        <v>181</v>
      </c>
      <c r="AL51" s="377" t="s">
        <v>182</v>
      </c>
      <c r="AM51" s="377" t="s">
        <v>183</v>
      </c>
      <c r="AN51" s="377" t="s">
        <v>66</v>
      </c>
      <c r="AO51" s="380">
        <v>80</v>
      </c>
      <c r="AP51" s="386">
        <v>1</v>
      </c>
      <c r="AQ51" s="386">
        <v>0</v>
      </c>
      <c r="AR51" s="384" t="s">
        <v>184</v>
      </c>
      <c r="AS51" s="388">
        <f t="shared" si="27"/>
        <v>0</v>
      </c>
      <c r="AT51">
        <f t="shared" si="28"/>
        <v>0</v>
      </c>
      <c r="AU51" s="388" t="str">
        <f>IF(AT51=0,"",IF(AND(AT51=1,M51="F",SUMIF(C2:C53,C51,AS2:AS53)&lt;=1),SUMIF(C2:C53,C51,AS2:AS53),IF(AND(AT51=1,M51="F",SUMIF(C2:C53,C51,AS2:AS53)&gt;1),1,"")))</f>
        <v/>
      </c>
      <c r="AV51" s="388" t="str">
        <f>IF(AT51=0,"",IF(AND(AT51=3,M51="F",SUMIF(C2:C53,C51,AS2:AS53)&lt;=1),SUMIF(C2:C53,C51,AS2:AS53),IF(AND(AT51=3,M51="F",SUMIF(C2:C53,C51,AS2:AS53)&gt;1),1,"")))</f>
        <v/>
      </c>
      <c r="AW51" s="388">
        <f>SUMIF(C2:C53,C51,O2:O53)</f>
        <v>2</v>
      </c>
      <c r="AX51" s="388">
        <f>IF(AND(M51="F",AS51&lt;&gt;0),SUMIF(C2:C53,C51,W2:W53),0)</f>
        <v>0</v>
      </c>
      <c r="AY51" s="388" t="str">
        <f t="shared" si="29"/>
        <v/>
      </c>
      <c r="AZ51" s="388" t="str">
        <f t="shared" si="30"/>
        <v/>
      </c>
      <c r="BA51" s="388">
        <f t="shared" si="31"/>
        <v>0</v>
      </c>
      <c r="BB51" s="388">
        <f t="shared" si="44"/>
        <v>0</v>
      </c>
      <c r="BC51" s="388">
        <f t="shared" si="45"/>
        <v>0</v>
      </c>
      <c r="BD51" s="388">
        <f t="shared" si="46"/>
        <v>0</v>
      </c>
      <c r="BE51" s="388">
        <f t="shared" si="47"/>
        <v>0</v>
      </c>
      <c r="BF51" s="388">
        <f t="shared" si="48"/>
        <v>0</v>
      </c>
      <c r="BG51" s="388">
        <f t="shared" si="49"/>
        <v>0</v>
      </c>
      <c r="BH51" s="388">
        <f t="shared" si="50"/>
        <v>0</v>
      </c>
      <c r="BI51" s="388">
        <f t="shared" si="51"/>
        <v>0</v>
      </c>
      <c r="BJ51" s="388">
        <f t="shared" si="52"/>
        <v>0</v>
      </c>
      <c r="BK51" s="388">
        <f t="shared" si="53"/>
        <v>0</v>
      </c>
      <c r="BL51" s="388">
        <f t="shared" si="32"/>
        <v>0</v>
      </c>
      <c r="BM51" s="388">
        <f t="shared" si="33"/>
        <v>0</v>
      </c>
      <c r="BN51" s="388">
        <f t="shared" si="54"/>
        <v>0</v>
      </c>
      <c r="BO51" s="388">
        <f t="shared" si="55"/>
        <v>0</v>
      </c>
      <c r="BP51" s="388">
        <f t="shared" si="56"/>
        <v>0</v>
      </c>
      <c r="BQ51" s="388">
        <f t="shared" si="57"/>
        <v>0</v>
      </c>
      <c r="BR51" s="388">
        <f t="shared" si="58"/>
        <v>0</v>
      </c>
      <c r="BS51" s="388">
        <f t="shared" si="59"/>
        <v>0</v>
      </c>
      <c r="BT51" s="388">
        <f t="shared" si="60"/>
        <v>0</v>
      </c>
      <c r="BU51" s="388">
        <f t="shared" si="61"/>
        <v>0</v>
      </c>
      <c r="BV51" s="388">
        <f t="shared" si="62"/>
        <v>0</v>
      </c>
      <c r="BW51" s="388">
        <f t="shared" si="63"/>
        <v>0</v>
      </c>
      <c r="BX51" s="388">
        <f t="shared" si="34"/>
        <v>0</v>
      </c>
      <c r="BY51" s="388">
        <f t="shared" si="35"/>
        <v>0</v>
      </c>
      <c r="BZ51" s="388">
        <f t="shared" si="36"/>
        <v>0</v>
      </c>
      <c r="CA51" s="388">
        <f t="shared" si="37"/>
        <v>0</v>
      </c>
      <c r="CB51" s="388">
        <f t="shared" si="38"/>
        <v>0</v>
      </c>
      <c r="CC51" s="388">
        <f t="shared" si="64"/>
        <v>0</v>
      </c>
      <c r="CD51" s="388">
        <f t="shared" si="65"/>
        <v>0</v>
      </c>
      <c r="CE51" s="388">
        <f t="shared" si="66"/>
        <v>0</v>
      </c>
      <c r="CF51" s="388">
        <f t="shared" si="67"/>
        <v>0</v>
      </c>
      <c r="CG51" s="388">
        <f t="shared" si="68"/>
        <v>0</v>
      </c>
      <c r="CH51" s="388">
        <f t="shared" si="69"/>
        <v>0</v>
      </c>
      <c r="CI51" s="388">
        <f t="shared" si="70"/>
        <v>0</v>
      </c>
      <c r="CJ51" s="388">
        <f t="shared" si="39"/>
        <v>0</v>
      </c>
      <c r="CK51" s="388" t="str">
        <f t="shared" si="40"/>
        <v/>
      </c>
      <c r="CL51" s="388" t="str">
        <f t="shared" si="41"/>
        <v/>
      </c>
      <c r="CM51" s="388" t="str">
        <f t="shared" si="42"/>
        <v/>
      </c>
      <c r="CN51" s="388" t="str">
        <f t="shared" si="43"/>
        <v>0348-00</v>
      </c>
    </row>
    <row r="52" spans="1:92" ht="15.75" thickBot="1">
      <c r="A52" s="377" t="s">
        <v>162</v>
      </c>
      <c r="B52" s="377" t="s">
        <v>163</v>
      </c>
      <c r="C52" s="377" t="s">
        <v>349</v>
      </c>
      <c r="D52" s="377" t="s">
        <v>241</v>
      </c>
      <c r="E52" s="377" t="s">
        <v>422</v>
      </c>
      <c r="F52" s="383" t="s">
        <v>249</v>
      </c>
      <c r="G52" s="377" t="s">
        <v>168</v>
      </c>
      <c r="H52" s="379"/>
      <c r="I52" s="379"/>
      <c r="J52" s="377" t="s">
        <v>169</v>
      </c>
      <c r="K52" s="377" t="s">
        <v>350</v>
      </c>
      <c r="L52" s="377" t="s">
        <v>188</v>
      </c>
      <c r="M52" s="377" t="s">
        <v>172</v>
      </c>
      <c r="N52" s="377" t="s">
        <v>173</v>
      </c>
      <c r="O52" s="380">
        <v>1</v>
      </c>
      <c r="P52" s="386">
        <v>0</v>
      </c>
      <c r="Q52" s="386">
        <v>0</v>
      </c>
      <c r="R52" s="381">
        <v>80</v>
      </c>
      <c r="S52" s="386">
        <v>0</v>
      </c>
      <c r="T52" s="381">
        <v>33127.06</v>
      </c>
      <c r="U52" s="381">
        <v>0</v>
      </c>
      <c r="V52" s="381">
        <v>13244.83</v>
      </c>
      <c r="W52" s="381">
        <v>0</v>
      </c>
      <c r="X52" s="381">
        <v>0</v>
      </c>
      <c r="Y52" s="381">
        <v>0</v>
      </c>
      <c r="Z52" s="381">
        <v>0</v>
      </c>
      <c r="AA52" s="377" t="s">
        <v>351</v>
      </c>
      <c r="AB52" s="377" t="s">
        <v>352</v>
      </c>
      <c r="AC52" s="377" t="s">
        <v>353</v>
      </c>
      <c r="AD52" s="377" t="s">
        <v>181</v>
      </c>
      <c r="AE52" s="377" t="s">
        <v>350</v>
      </c>
      <c r="AF52" s="377" t="s">
        <v>193</v>
      </c>
      <c r="AG52" s="377" t="s">
        <v>179</v>
      </c>
      <c r="AH52" s="382">
        <v>36.299999999999997</v>
      </c>
      <c r="AI52" s="382">
        <v>11820.9</v>
      </c>
      <c r="AJ52" s="377" t="s">
        <v>180</v>
      </c>
      <c r="AK52" s="377" t="s">
        <v>181</v>
      </c>
      <c r="AL52" s="377" t="s">
        <v>182</v>
      </c>
      <c r="AM52" s="377" t="s">
        <v>183</v>
      </c>
      <c r="AN52" s="377" t="s">
        <v>66</v>
      </c>
      <c r="AO52" s="380">
        <v>80</v>
      </c>
      <c r="AP52" s="386">
        <v>1</v>
      </c>
      <c r="AQ52" s="386">
        <v>0</v>
      </c>
      <c r="AR52" s="384" t="s">
        <v>184</v>
      </c>
      <c r="AS52" s="388">
        <f t="shared" si="27"/>
        <v>0</v>
      </c>
      <c r="AT52">
        <f t="shared" si="28"/>
        <v>0</v>
      </c>
      <c r="AU52" s="388" t="str">
        <f>IF(AT52=0,"",IF(AND(AT52=1,M52="F",SUMIF(C2:C53,C52,AS2:AS53)&lt;=1),SUMIF(C2:C53,C52,AS2:AS53),IF(AND(AT52=1,M52="F",SUMIF(C2:C53,C52,AS2:AS53)&gt;1),1,"")))</f>
        <v/>
      </c>
      <c r="AV52" s="388" t="str">
        <f>IF(AT52=0,"",IF(AND(AT52=3,M52="F",SUMIF(C2:C53,C52,AS2:AS53)&lt;=1),SUMIF(C2:C53,C52,AS2:AS53),IF(AND(AT52=3,M52="F",SUMIF(C2:C53,C52,AS2:AS53)&gt;1),1,"")))</f>
        <v/>
      </c>
      <c r="AW52" s="388">
        <f>SUMIF(C2:C53,C52,O2:O53)</f>
        <v>2</v>
      </c>
      <c r="AX52" s="388">
        <f>IF(AND(M52="F",AS52&lt;&gt;0),SUMIF(C2:C53,C52,W2:W53),0)</f>
        <v>0</v>
      </c>
      <c r="AY52" s="388" t="str">
        <f t="shared" si="29"/>
        <v/>
      </c>
      <c r="AZ52" s="388" t="str">
        <f t="shared" si="30"/>
        <v/>
      </c>
      <c r="BA52" s="388">
        <f t="shared" si="31"/>
        <v>0</v>
      </c>
      <c r="BB52" s="388">
        <f t="shared" si="44"/>
        <v>0</v>
      </c>
      <c r="BC52" s="388">
        <f t="shared" si="45"/>
        <v>0</v>
      </c>
      <c r="BD52" s="388">
        <f t="shared" si="46"/>
        <v>0</v>
      </c>
      <c r="BE52" s="388">
        <f t="shared" si="47"/>
        <v>0</v>
      </c>
      <c r="BF52" s="388">
        <f t="shared" si="48"/>
        <v>0</v>
      </c>
      <c r="BG52" s="388">
        <f t="shared" si="49"/>
        <v>0</v>
      </c>
      <c r="BH52" s="388">
        <f t="shared" si="50"/>
        <v>0</v>
      </c>
      <c r="BI52" s="388">
        <f t="shared" si="51"/>
        <v>0</v>
      </c>
      <c r="BJ52" s="388">
        <f t="shared" si="52"/>
        <v>0</v>
      </c>
      <c r="BK52" s="388">
        <f t="shared" si="53"/>
        <v>0</v>
      </c>
      <c r="BL52" s="388">
        <f t="shared" si="32"/>
        <v>0</v>
      </c>
      <c r="BM52" s="388">
        <f t="shared" si="33"/>
        <v>0</v>
      </c>
      <c r="BN52" s="388">
        <f t="shared" si="54"/>
        <v>0</v>
      </c>
      <c r="BO52" s="388">
        <f t="shared" si="55"/>
        <v>0</v>
      </c>
      <c r="BP52" s="388">
        <f t="shared" si="56"/>
        <v>0</v>
      </c>
      <c r="BQ52" s="388">
        <f t="shared" si="57"/>
        <v>0</v>
      </c>
      <c r="BR52" s="388">
        <f t="shared" si="58"/>
        <v>0</v>
      </c>
      <c r="BS52" s="388">
        <f t="shared" si="59"/>
        <v>0</v>
      </c>
      <c r="BT52" s="388">
        <f t="shared" si="60"/>
        <v>0</v>
      </c>
      <c r="BU52" s="388">
        <f t="shared" si="61"/>
        <v>0</v>
      </c>
      <c r="BV52" s="388">
        <f t="shared" si="62"/>
        <v>0</v>
      </c>
      <c r="BW52" s="388">
        <f t="shared" si="63"/>
        <v>0</v>
      </c>
      <c r="BX52" s="388">
        <f t="shared" si="34"/>
        <v>0</v>
      </c>
      <c r="BY52" s="388">
        <f t="shared" si="35"/>
        <v>0</v>
      </c>
      <c r="BZ52" s="388">
        <f t="shared" si="36"/>
        <v>0</v>
      </c>
      <c r="CA52" s="388">
        <f t="shared" si="37"/>
        <v>0</v>
      </c>
      <c r="CB52" s="388">
        <f t="shared" si="38"/>
        <v>0</v>
      </c>
      <c r="CC52" s="388">
        <f t="shared" si="64"/>
        <v>0</v>
      </c>
      <c r="CD52" s="388">
        <f t="shared" si="65"/>
        <v>0</v>
      </c>
      <c r="CE52" s="388">
        <f t="shared" si="66"/>
        <v>0</v>
      </c>
      <c r="CF52" s="388">
        <f t="shared" si="67"/>
        <v>0</v>
      </c>
      <c r="CG52" s="388">
        <f t="shared" si="68"/>
        <v>0</v>
      </c>
      <c r="CH52" s="388">
        <f t="shared" si="69"/>
        <v>0</v>
      </c>
      <c r="CI52" s="388">
        <f t="shared" si="70"/>
        <v>0</v>
      </c>
      <c r="CJ52" s="388">
        <f t="shared" si="39"/>
        <v>0</v>
      </c>
      <c r="CK52" s="388" t="str">
        <f t="shared" si="40"/>
        <v/>
      </c>
      <c r="CL52" s="388" t="str">
        <f t="shared" si="41"/>
        <v/>
      </c>
      <c r="CM52" s="388" t="str">
        <f t="shared" si="42"/>
        <v/>
      </c>
      <c r="CN52" s="388" t="str">
        <f t="shared" si="43"/>
        <v>0348-00</v>
      </c>
    </row>
    <row r="53" spans="1:92" ht="15.75" thickBot="1">
      <c r="A53" s="377" t="s">
        <v>162</v>
      </c>
      <c r="B53" s="377" t="s">
        <v>163</v>
      </c>
      <c r="C53" s="377" t="s">
        <v>389</v>
      </c>
      <c r="D53" s="377" t="s">
        <v>263</v>
      </c>
      <c r="E53" s="377" t="s">
        <v>422</v>
      </c>
      <c r="F53" s="383" t="s">
        <v>249</v>
      </c>
      <c r="G53" s="377" t="s">
        <v>168</v>
      </c>
      <c r="H53" s="379"/>
      <c r="I53" s="379"/>
      <c r="J53" s="377" t="s">
        <v>169</v>
      </c>
      <c r="K53" s="377" t="s">
        <v>264</v>
      </c>
      <c r="L53" s="377" t="s">
        <v>182</v>
      </c>
      <c r="M53" s="377" t="s">
        <v>172</v>
      </c>
      <c r="N53" s="377" t="s">
        <v>173</v>
      </c>
      <c r="O53" s="380">
        <v>1</v>
      </c>
      <c r="P53" s="386">
        <v>0</v>
      </c>
      <c r="Q53" s="386">
        <v>0</v>
      </c>
      <c r="R53" s="381">
        <v>80</v>
      </c>
      <c r="S53" s="386">
        <v>0</v>
      </c>
      <c r="T53" s="381">
        <v>36088.720000000001</v>
      </c>
      <c r="U53" s="381">
        <v>0</v>
      </c>
      <c r="V53" s="381">
        <v>14638.91</v>
      </c>
      <c r="W53" s="381">
        <v>0</v>
      </c>
      <c r="X53" s="381">
        <v>0</v>
      </c>
      <c r="Y53" s="381">
        <v>0</v>
      </c>
      <c r="Z53" s="381">
        <v>0</v>
      </c>
      <c r="AA53" s="377" t="s">
        <v>390</v>
      </c>
      <c r="AB53" s="377" t="s">
        <v>391</v>
      </c>
      <c r="AC53" s="377" t="s">
        <v>392</v>
      </c>
      <c r="AD53" s="377" t="s">
        <v>393</v>
      </c>
      <c r="AE53" s="377" t="s">
        <v>264</v>
      </c>
      <c r="AF53" s="377" t="s">
        <v>268</v>
      </c>
      <c r="AG53" s="377" t="s">
        <v>179</v>
      </c>
      <c r="AH53" s="382">
        <v>35.450000000000003</v>
      </c>
      <c r="AI53" s="382">
        <v>3368.8</v>
      </c>
      <c r="AJ53" s="377" t="s">
        <v>180</v>
      </c>
      <c r="AK53" s="377" t="s">
        <v>181</v>
      </c>
      <c r="AL53" s="377" t="s">
        <v>182</v>
      </c>
      <c r="AM53" s="377" t="s">
        <v>183</v>
      </c>
      <c r="AN53" s="377" t="s">
        <v>66</v>
      </c>
      <c r="AO53" s="380">
        <v>80</v>
      </c>
      <c r="AP53" s="386">
        <v>1</v>
      </c>
      <c r="AQ53" s="386">
        <v>0</v>
      </c>
      <c r="AR53" s="384" t="s">
        <v>184</v>
      </c>
      <c r="AS53" s="388">
        <f t="shared" si="27"/>
        <v>0</v>
      </c>
      <c r="AT53">
        <f t="shared" si="28"/>
        <v>0</v>
      </c>
      <c r="AU53" s="388" t="str">
        <f>IF(AT53=0,"",IF(AND(AT53=1,M53="F",SUMIF(C2:C53,C53,AS2:AS53)&lt;=1),SUMIF(C2:C53,C53,AS2:AS53),IF(AND(AT53=1,M53="F",SUMIF(C2:C53,C53,AS2:AS53)&gt;1),1,"")))</f>
        <v/>
      </c>
      <c r="AV53" s="388" t="str">
        <f>IF(AT53=0,"",IF(AND(AT53=3,M53="F",SUMIF(C2:C53,C53,AS2:AS53)&lt;=1),SUMIF(C2:C53,C53,AS2:AS53),IF(AND(AT53=3,M53="F",SUMIF(C2:C53,C53,AS2:AS53)&gt;1),1,"")))</f>
        <v/>
      </c>
      <c r="AW53" s="388">
        <f>SUMIF(C2:C53,C53,O2:O53)</f>
        <v>2</v>
      </c>
      <c r="AX53" s="388">
        <f>IF(AND(M53="F",AS53&lt;&gt;0),SUMIF(C2:C53,C53,W2:W53),0)</f>
        <v>0</v>
      </c>
      <c r="AY53" s="388" t="str">
        <f t="shared" si="29"/>
        <v/>
      </c>
      <c r="AZ53" s="388" t="str">
        <f t="shared" si="30"/>
        <v/>
      </c>
      <c r="BA53" s="388">
        <f t="shared" si="31"/>
        <v>0</v>
      </c>
      <c r="BB53" s="388">
        <f t="shared" si="44"/>
        <v>0</v>
      </c>
      <c r="BC53" s="388">
        <f t="shared" si="45"/>
        <v>0</v>
      </c>
      <c r="BD53" s="388">
        <f t="shared" si="46"/>
        <v>0</v>
      </c>
      <c r="BE53" s="388">
        <f t="shared" si="47"/>
        <v>0</v>
      </c>
      <c r="BF53" s="388">
        <f t="shared" si="48"/>
        <v>0</v>
      </c>
      <c r="BG53" s="388">
        <f t="shared" si="49"/>
        <v>0</v>
      </c>
      <c r="BH53" s="388">
        <f t="shared" si="50"/>
        <v>0</v>
      </c>
      <c r="BI53" s="388">
        <f t="shared" si="51"/>
        <v>0</v>
      </c>
      <c r="BJ53" s="388">
        <f t="shared" si="52"/>
        <v>0</v>
      </c>
      <c r="BK53" s="388">
        <f t="shared" si="53"/>
        <v>0</v>
      </c>
      <c r="BL53" s="388">
        <f t="shared" si="32"/>
        <v>0</v>
      </c>
      <c r="BM53" s="388">
        <f t="shared" si="33"/>
        <v>0</v>
      </c>
      <c r="BN53" s="388">
        <f t="shared" si="54"/>
        <v>0</v>
      </c>
      <c r="BO53" s="388">
        <f t="shared" si="55"/>
        <v>0</v>
      </c>
      <c r="BP53" s="388">
        <f t="shared" si="56"/>
        <v>0</v>
      </c>
      <c r="BQ53" s="388">
        <f t="shared" si="57"/>
        <v>0</v>
      </c>
      <c r="BR53" s="388">
        <f t="shared" si="58"/>
        <v>0</v>
      </c>
      <c r="BS53" s="388">
        <f t="shared" si="59"/>
        <v>0</v>
      </c>
      <c r="BT53" s="388">
        <f t="shared" si="60"/>
        <v>0</v>
      </c>
      <c r="BU53" s="388">
        <f t="shared" si="61"/>
        <v>0</v>
      </c>
      <c r="BV53" s="388">
        <f t="shared" si="62"/>
        <v>0</v>
      </c>
      <c r="BW53" s="388">
        <f t="shared" si="63"/>
        <v>0</v>
      </c>
      <c r="BX53" s="388">
        <f t="shared" si="34"/>
        <v>0</v>
      </c>
      <c r="BY53" s="388">
        <f t="shared" si="35"/>
        <v>0</v>
      </c>
      <c r="BZ53" s="388">
        <f t="shared" si="36"/>
        <v>0</v>
      </c>
      <c r="CA53" s="388">
        <f t="shared" si="37"/>
        <v>0</v>
      </c>
      <c r="CB53" s="388">
        <f t="shared" si="38"/>
        <v>0</v>
      </c>
      <c r="CC53" s="388">
        <f t="shared" si="64"/>
        <v>0</v>
      </c>
      <c r="CD53" s="388">
        <f t="shared" si="65"/>
        <v>0</v>
      </c>
      <c r="CE53" s="388">
        <f t="shared" si="66"/>
        <v>0</v>
      </c>
      <c r="CF53" s="388">
        <f t="shared" si="67"/>
        <v>0</v>
      </c>
      <c r="CG53" s="388">
        <f t="shared" si="68"/>
        <v>0</v>
      </c>
      <c r="CH53" s="388">
        <f t="shared" si="69"/>
        <v>0</v>
      </c>
      <c r="CI53" s="388">
        <f t="shared" si="70"/>
        <v>0</v>
      </c>
      <c r="CJ53" s="388">
        <f t="shared" si="39"/>
        <v>0</v>
      </c>
      <c r="CK53" s="388" t="str">
        <f t="shared" si="40"/>
        <v/>
      </c>
      <c r="CL53" s="388" t="str">
        <f t="shared" si="41"/>
        <v/>
      </c>
      <c r="CM53" s="388" t="str">
        <f t="shared" si="42"/>
        <v/>
      </c>
      <c r="CN53" s="388" t="str">
        <f t="shared" si="43"/>
        <v>0348-00</v>
      </c>
    </row>
    <row r="55" spans="1:92" ht="21">
      <c r="AQ55" s="251" t="s">
        <v>484</v>
      </c>
    </row>
    <row r="56" spans="1:92" ht="15.75" thickBot="1">
      <c r="AR56" t="s">
        <v>471</v>
      </c>
      <c r="AS56" s="388">
        <f>SUMIFS(AS2:AS53,G2:G53,"PCAB",E2:E53,"0229",F2:F53,"20",AT2:AT53,1)</f>
        <v>38</v>
      </c>
      <c r="AT56" s="388">
        <f>SUMIFS(AS2:AS53,G2:G53,"PCAB",E2:E53,"0229",F2:F53,"20",AT2:AT53,3)</f>
        <v>3</v>
      </c>
      <c r="AU56" s="388">
        <f>SUMIFS(AU2:AU53,G2:G53,"PCAB",E2:E53,"0229",F2:F53,"20")</f>
        <v>38</v>
      </c>
      <c r="AV56" s="388">
        <f>SUMIFS(AV2:AV53,G2:G53,"PCAB",E2:E53,"0229",F2:F53,"20")</f>
        <v>3</v>
      </c>
      <c r="AW56" s="388">
        <f>SUMIFS(AW2:AW53,G2:G53,"PCAB",E2:E53,"0229",F2:F53,"20")</f>
        <v>44</v>
      </c>
      <c r="AX56" s="388">
        <f>SUMIFS(AX2:AX53,G2:G53,"PCAB",E2:E53,"0229",F2:F53,"20")</f>
        <v>3033371.6000000006</v>
      </c>
      <c r="AY56" s="388">
        <f>SUMIFS(AY2:AY53,G2:G53,"PCAB",E2:E53,"0229",F2:F53,"20")</f>
        <v>2672633.6</v>
      </c>
      <c r="AZ56" s="388">
        <f>SUMIFS(AZ2:AZ53,G2:G53,"PCAB",E2:E53,"0229",F2:F53,"20")</f>
        <v>360738</v>
      </c>
      <c r="BA56" s="388">
        <f>SUMIFS(BA2:BA53,G2:G53,"PCAB",E2:E53,"0229",F2:F53,"20")</f>
        <v>0</v>
      </c>
      <c r="BB56" s="388">
        <f>SUMIFS(BB2:BB53,G2:G53,"PCAB",E2:E53,"0229",F2:F53,"20")</f>
        <v>475000</v>
      </c>
      <c r="BC56" s="388">
        <f>SUMIFS(BC2:BC53,G2:G53,"PCAB",E2:E53,"0229",F2:F53,"20")</f>
        <v>37500</v>
      </c>
      <c r="BD56" s="388">
        <f>SUMIFS(BD2:BD53,G2:G53,"PCAB",E2:E53,"0229",F2:F53,"20")</f>
        <v>187718.76400000005</v>
      </c>
      <c r="BE56" s="388">
        <f>SUMIFS(BE2:BE53,G2:G53,"PCAB",E2:E53,"0229",F2:F53,"20")</f>
        <v>43983.888200000001</v>
      </c>
      <c r="BF56" s="388">
        <f>SUMIFS(BF2:BF53,G2:G53,"PCAB",E2:E53,"0229",F2:F53,"20")</f>
        <v>362184.56904000003</v>
      </c>
      <c r="BG56" s="388">
        <f>SUMIFS(BG2:BG53,G2:G53,"PCAB",E2:E53,"0229",F2:F53,"20")</f>
        <v>21870.609236000004</v>
      </c>
      <c r="BH56" s="388">
        <f>SUMIFS(BH2:BH53,G2:G53,"PCAB",E2:E53,"0229",F2:F53,"20")</f>
        <v>0</v>
      </c>
      <c r="BI56" s="388">
        <f>SUMIFS(BI2:BI53,G2:G53,"PCAB",E2:E53,"0229",F2:F53,"20")</f>
        <v>11618.257247999996</v>
      </c>
      <c r="BJ56" s="388">
        <f>SUMIFS(BJ2:BJ53,G2:G53,"PCAB",E2:E53,"0229",F2:F53,"20")</f>
        <v>18200.229599999999</v>
      </c>
      <c r="BK56" s="388">
        <f>SUMIFS(BK2:BK53,G2:G53,"PCAB",E2:E53,"0229",F2:F53,"20")</f>
        <v>0</v>
      </c>
      <c r="BL56" s="388">
        <f>SUMIFS(BL2:BL53,G2:G53,"PCAB",E2:E53,"0229",F2:F53,"20")</f>
        <v>570142.39414400002</v>
      </c>
      <c r="BM56" s="388">
        <f>SUMIFS(BM2:BM53,G2:G53,"PCAB",E2:E53,"0229",F2:F53,"20")</f>
        <v>75433.923179999998</v>
      </c>
      <c r="BN56" s="388">
        <f>SUMIFS(BN2:BN53,G2:G53,"PCAB",E2:E53,"0229",F2:F53,"20")</f>
        <v>522500</v>
      </c>
      <c r="BO56" s="388">
        <f>SUMIFS(BO2:BO53,G2:G53,"PCAB",E2:E53,"0229",F2:F53,"20")</f>
        <v>41250</v>
      </c>
      <c r="BP56" s="388">
        <f>SUMIFS(BP2:BP53,G2:G53,"PCAB",E2:E53,"0229",F2:F53,"20")</f>
        <v>187979.16400000005</v>
      </c>
      <c r="BQ56" s="388">
        <f>SUMIFS(BQ2:BQ53,G2:G53,"PCAB",E2:E53,"0229",F2:F53,"20")</f>
        <v>43983.888200000001</v>
      </c>
      <c r="BR56" s="388">
        <f>SUMIFS(BR2:BR53,G2:G53,"PCAB",E2:E53,"0229",F2:F53,"20")</f>
        <v>339130.94487999991</v>
      </c>
      <c r="BS56" s="388">
        <f>SUMIFS(BS2:BS53,G2:G53,"PCAB",E2:E53,"0229",F2:F53,"20")</f>
        <v>21870.609236000004</v>
      </c>
      <c r="BT56" s="388">
        <f>SUMIFS(BT2:BT53,G2:G53,"PCAB",E2:E53,"0229",F2:F53,"20")</f>
        <v>0</v>
      </c>
      <c r="BU56" s="388">
        <f>SUMIFS(BU2:BU53,G2:G53,"PCAB",E2:E53,"0229",F2:F53,"20")</f>
        <v>11618.257247999996</v>
      </c>
      <c r="BV56" s="388">
        <f>SUMIFS(BV2:BV53,G2:G53,"PCAB",E2:E53,"0229",F2:F53,"20")</f>
        <v>18503.566759999998</v>
      </c>
      <c r="BW56" s="388">
        <f>SUMIFS(BW2:BW53,G2:G53,"PCAB",E2:E53,"0229",F2:F53,"20")</f>
        <v>0</v>
      </c>
      <c r="BX56" s="388">
        <f>SUMIFS(BX2:BX53,G2:G53,"PCAB",E2:E53,"0229",F2:F53,"20")</f>
        <v>550358.04214399983</v>
      </c>
      <c r="BY56" s="388">
        <f>SUMIFS(BY2:BY53,G2:G53,"PCAB",E2:E53,"0229",F2:F53,"20")</f>
        <v>72728.388179999994</v>
      </c>
      <c r="BZ56" s="388">
        <f>SUMIFS(BZ2:BZ53,G2:G53,"PCAB",E2:E53,"0229",F2:F53,"20")</f>
        <v>47500</v>
      </c>
      <c r="CA56" s="388">
        <f>SUMIFS(CA2:CA53,G2:G53,"PCAB",E2:E53,"0229",F2:F53,"20")</f>
        <v>3750</v>
      </c>
      <c r="CB56" s="388">
        <f>SUMIFS(CB2:CB53,G2:G53,"PCAB",E2:E53,"0229",F2:F53,"20")</f>
        <v>260.39999999999964</v>
      </c>
      <c r="CC56" s="388">
        <f>SUMIFS(CC2:CC53,G2:G53,"PCAB",E2:E53,"0229",F2:F53,"20")</f>
        <v>0</v>
      </c>
      <c r="CD56" s="388">
        <f>SUMIFS(CD2:CD53,G2:G53,"PCAB",E2:E53,"0229",F2:F53,"20")</f>
        <v>-23053.624160000036</v>
      </c>
      <c r="CE56" s="388">
        <f>SUMIFS(CE2:CE53,G2:G53,"PCAB",E2:E53,"0229",F2:F53,"20")</f>
        <v>0</v>
      </c>
      <c r="CF56" s="388">
        <f>SUMIFS(CF2:CF53,G2:G53,"PCAB",E2:E53,"0229",F2:F53,"20")</f>
        <v>0</v>
      </c>
      <c r="CG56" s="388">
        <f>SUMIFS(CG2:CG53,G2:G53,"PCAB",E2:E53,"0229",F2:F53,"20")</f>
        <v>0</v>
      </c>
      <c r="CH56" s="388">
        <f>SUMIFS(CH2:CH53,G2:G53,"PCAB",E2:E53,"0229",F2:F53,"20")</f>
        <v>303.33716000000078</v>
      </c>
      <c r="CI56" s="388">
        <f>SUMIFS(CI2:CI53,G2:G53,"PCAB",E2:E53,"0229",F2:F53,"20")</f>
        <v>0</v>
      </c>
      <c r="CJ56" s="388">
        <f>SUMIFS(CJ2:CJ53,G2:G53,"PCAB",E2:E53,"0229",F2:F53,"20")</f>
        <v>-19784.352000000024</v>
      </c>
      <c r="CK56" s="388">
        <f>SUMIFS(CK2:CK53,G2:G53,"PCAB",E2:E53,"0229",F2:F53,"20")</f>
        <v>-2705.535000000003</v>
      </c>
      <c r="CL56" s="388">
        <f>SUMIFS(CL2:CL53,G2:G53,"PCAB",E2:E53,"0229",F2:F53,"20")</f>
        <v>6732</v>
      </c>
      <c r="CM56" s="388">
        <f>SUMIFS(CM2:CM53,G2:G53,"PCAB",E2:E53,"0229",F2:F53,"20")</f>
        <v>640.66</v>
      </c>
    </row>
    <row r="57" spans="1:92" ht="18.75">
      <c r="AQ57" s="394" t="s">
        <v>472</v>
      </c>
      <c r="AS57" s="395">
        <f t="shared" ref="AS57:CM57" si="71">SUM(AS56:AS56)</f>
        <v>38</v>
      </c>
      <c r="AT57" s="395">
        <f t="shared" si="71"/>
        <v>3</v>
      </c>
      <c r="AU57" s="395">
        <f t="shared" si="71"/>
        <v>38</v>
      </c>
      <c r="AV57" s="395">
        <f t="shared" si="71"/>
        <v>3</v>
      </c>
      <c r="AW57" s="395">
        <f t="shared" si="71"/>
        <v>44</v>
      </c>
      <c r="AX57" s="395">
        <f t="shared" si="71"/>
        <v>3033371.6000000006</v>
      </c>
      <c r="AY57" s="395">
        <f t="shared" si="71"/>
        <v>2672633.6</v>
      </c>
      <c r="AZ57" s="395">
        <f t="shared" si="71"/>
        <v>360738</v>
      </c>
      <c r="BA57" s="395">
        <f t="shared" si="71"/>
        <v>0</v>
      </c>
      <c r="BB57" s="395">
        <f t="shared" si="71"/>
        <v>475000</v>
      </c>
      <c r="BC57" s="395">
        <f t="shared" si="71"/>
        <v>37500</v>
      </c>
      <c r="BD57" s="395">
        <f t="shared" si="71"/>
        <v>187718.76400000005</v>
      </c>
      <c r="BE57" s="395">
        <f t="shared" si="71"/>
        <v>43983.888200000001</v>
      </c>
      <c r="BF57" s="395">
        <f t="shared" si="71"/>
        <v>362184.56904000003</v>
      </c>
      <c r="BG57" s="395">
        <f t="shared" si="71"/>
        <v>21870.609236000004</v>
      </c>
      <c r="BH57" s="395">
        <f t="shared" si="71"/>
        <v>0</v>
      </c>
      <c r="BI57" s="395">
        <f t="shared" si="71"/>
        <v>11618.257247999996</v>
      </c>
      <c r="BJ57" s="395">
        <f t="shared" si="71"/>
        <v>18200.229599999999</v>
      </c>
      <c r="BK57" s="395">
        <f t="shared" si="71"/>
        <v>0</v>
      </c>
      <c r="BL57" s="395">
        <f t="shared" si="71"/>
        <v>570142.39414400002</v>
      </c>
      <c r="BM57" s="395">
        <f t="shared" si="71"/>
        <v>75433.923179999998</v>
      </c>
      <c r="BN57" s="395">
        <f t="shared" si="71"/>
        <v>522500</v>
      </c>
      <c r="BO57" s="395">
        <f t="shared" si="71"/>
        <v>41250</v>
      </c>
      <c r="BP57" s="395">
        <f t="shared" si="71"/>
        <v>187979.16400000005</v>
      </c>
      <c r="BQ57" s="395">
        <f t="shared" si="71"/>
        <v>43983.888200000001</v>
      </c>
      <c r="BR57" s="395">
        <f t="shared" si="71"/>
        <v>339130.94487999991</v>
      </c>
      <c r="BS57" s="395">
        <f t="shared" si="71"/>
        <v>21870.609236000004</v>
      </c>
      <c r="BT57" s="395">
        <f t="shared" si="71"/>
        <v>0</v>
      </c>
      <c r="BU57" s="395">
        <f t="shared" si="71"/>
        <v>11618.257247999996</v>
      </c>
      <c r="BV57" s="395">
        <f t="shared" si="71"/>
        <v>18503.566759999998</v>
      </c>
      <c r="BW57" s="395">
        <f t="shared" si="71"/>
        <v>0</v>
      </c>
      <c r="BX57" s="395">
        <f t="shared" si="71"/>
        <v>550358.04214399983</v>
      </c>
      <c r="BY57" s="395">
        <f t="shared" si="71"/>
        <v>72728.388179999994</v>
      </c>
      <c r="BZ57" s="395">
        <f t="shared" si="71"/>
        <v>47500</v>
      </c>
      <c r="CA57" s="395">
        <f t="shared" si="71"/>
        <v>3750</v>
      </c>
      <c r="CB57" s="395">
        <f t="shared" si="71"/>
        <v>260.39999999999964</v>
      </c>
      <c r="CC57" s="395">
        <f t="shared" si="71"/>
        <v>0</v>
      </c>
      <c r="CD57" s="395">
        <f t="shared" si="71"/>
        <v>-23053.624160000036</v>
      </c>
      <c r="CE57" s="395">
        <f t="shared" si="71"/>
        <v>0</v>
      </c>
      <c r="CF57" s="395">
        <f t="shared" si="71"/>
        <v>0</v>
      </c>
      <c r="CG57" s="395">
        <f t="shared" si="71"/>
        <v>0</v>
      </c>
      <c r="CH57" s="395">
        <f t="shared" si="71"/>
        <v>303.33716000000078</v>
      </c>
      <c r="CI57" s="395">
        <f t="shared" si="71"/>
        <v>0</v>
      </c>
      <c r="CJ57" s="395">
        <f t="shared" si="71"/>
        <v>-19784.352000000024</v>
      </c>
      <c r="CK57" s="395">
        <f t="shared" si="71"/>
        <v>-2705.535000000003</v>
      </c>
      <c r="CL57" s="395">
        <f t="shared" si="71"/>
        <v>6732</v>
      </c>
      <c r="CM57" s="395">
        <f t="shared" si="71"/>
        <v>640.66</v>
      </c>
    </row>
    <row r="58" spans="1:92" ht="15.75" thickBot="1">
      <c r="AR58" t="s">
        <v>478</v>
      </c>
      <c r="AS58" s="388">
        <f>SUMIFS(AS2:AS53,G2:G53,"PCAB",E2:E53,"0348",F2:F53,"00",AT2:AT53,1)</f>
        <v>0</v>
      </c>
      <c r="AT58" s="388">
        <f>SUMIFS(AS2:AS53,G2:G53,"PCAB",E2:E53,"0348",F2:F53,"00",AT2:AT53,3)</f>
        <v>0</v>
      </c>
      <c r="AU58" s="388">
        <f>SUMIFS(AU2:AU53,G2:G53,"PCAB",E2:E53,"0348",F2:F53,"00")</f>
        <v>0</v>
      </c>
      <c r="AV58" s="388">
        <f>SUMIFS(AV2:AV53,G2:G53,"PCAB",E2:E53,"0348",F2:F53,"00")</f>
        <v>0</v>
      </c>
      <c r="AW58" s="388">
        <f>SUMIFS(AW2:AW53,G2:G53,"PCAB",E2:E53,"0348",F2:F53,"00")</f>
        <v>6</v>
      </c>
      <c r="AX58" s="388">
        <f>SUMIFS(AX2:AX53,G2:G53,"PCAB",E2:E53,"0348",F2:F53,"00")</f>
        <v>0</v>
      </c>
      <c r="AY58" s="388">
        <f>SUMIFS(AY2:AY53,G2:G53,"PCAB",E2:E53,"0348",F2:F53,"00")</f>
        <v>0</v>
      </c>
      <c r="AZ58" s="388">
        <f>SUMIFS(AZ2:AZ53,G2:G53,"PCAB",E2:E53,"0348",F2:F53,"00")</f>
        <v>0</v>
      </c>
      <c r="BA58" s="388">
        <f>SUMIFS(BA2:BA53,G2:G53,"PCAB",E2:E53,"0348",F2:F53,"00")</f>
        <v>0</v>
      </c>
      <c r="BB58" s="388">
        <f>SUMIFS(BB2:BB53,G2:G53,"PCAB",E2:E53,"0348",F2:F53,"00")</f>
        <v>0</v>
      </c>
      <c r="BC58" s="388">
        <f>SUMIFS(BC2:BC53,G2:G53,"PCAB",E2:E53,"0348",F2:F53,"00")</f>
        <v>0</v>
      </c>
      <c r="BD58" s="388">
        <f>SUMIFS(BD2:BD53,G2:G53,"PCAB",E2:E53,"0348",F2:F53,"00")</f>
        <v>0</v>
      </c>
      <c r="BE58" s="388">
        <f>SUMIFS(BE2:BE53,G2:G53,"PCAB",E2:E53,"0348",F2:F53,"00")</f>
        <v>0</v>
      </c>
      <c r="BF58" s="388">
        <f>SUMIFS(BF2:BF53,G2:G53,"PCAB",E2:E53,"0348",F2:F53,"00")</f>
        <v>0</v>
      </c>
      <c r="BG58" s="388">
        <f>SUMIFS(BG2:BG53,G2:G53,"PCAB",E2:E53,"0348",F2:F53,"00")</f>
        <v>0</v>
      </c>
      <c r="BH58" s="388">
        <f>SUMIFS(BH2:BH53,G2:G53,"PCAB",E2:E53,"0348",F2:F53,"00")</f>
        <v>0</v>
      </c>
      <c r="BI58" s="388">
        <f>SUMIFS(BI2:BI53,G2:G53,"PCAB",E2:E53,"0348",F2:F53,"00")</f>
        <v>0</v>
      </c>
      <c r="BJ58" s="388">
        <f>SUMIFS(BJ2:BJ53,G2:G53,"PCAB",E2:E53,"0348",F2:F53,"00")</f>
        <v>0</v>
      </c>
      <c r="BK58" s="388">
        <f>SUMIFS(BK2:BK53,G2:G53,"PCAB",E2:E53,"0348",F2:F53,"00")</f>
        <v>0</v>
      </c>
      <c r="BL58" s="388">
        <f>SUMIFS(BL2:BL53,G2:G53,"PCAB",E2:E53,"0348",F2:F53,"00")</f>
        <v>0</v>
      </c>
      <c r="BM58" s="388">
        <f>SUMIFS(BM2:BM53,G2:G53,"PCAB",E2:E53,"0348",F2:F53,"00")</f>
        <v>0</v>
      </c>
      <c r="BN58" s="388">
        <f>SUMIFS(BN2:BN53,G2:G53,"PCAB",E2:E53,"0348",F2:F53,"00")</f>
        <v>0</v>
      </c>
      <c r="BO58" s="388">
        <f>SUMIFS(BO2:BO53,G2:G53,"PCAB",E2:E53,"0348",F2:F53,"00")</f>
        <v>0</v>
      </c>
      <c r="BP58" s="388">
        <f>SUMIFS(BP2:BP53,G2:G53,"PCAB",E2:E53,"0348",F2:F53,"00")</f>
        <v>0</v>
      </c>
      <c r="BQ58" s="388">
        <f>SUMIFS(BQ2:BQ53,G2:G53,"PCAB",E2:E53,"0348",F2:F53,"00")</f>
        <v>0</v>
      </c>
      <c r="BR58" s="388">
        <f>SUMIFS(BR2:BR53,G2:G53,"PCAB",E2:E53,"0348",F2:F53,"00")</f>
        <v>0</v>
      </c>
      <c r="BS58" s="388">
        <f>SUMIFS(BS2:BS53,G2:G53,"PCAB",E2:E53,"0348",F2:F53,"00")</f>
        <v>0</v>
      </c>
      <c r="BT58" s="388">
        <f>SUMIFS(BT2:BT53,G2:G53,"PCAB",E2:E53,"0348",F2:F53,"00")</f>
        <v>0</v>
      </c>
      <c r="BU58" s="388">
        <f>SUMIFS(BU2:BU53,G2:G53,"PCAB",E2:E53,"0348",F2:F53,"00")</f>
        <v>0</v>
      </c>
      <c r="BV58" s="388">
        <f>SUMIFS(BV2:BV53,G2:G53,"PCAB",E2:E53,"0348",F2:F53,"00")</f>
        <v>0</v>
      </c>
      <c r="BW58" s="388">
        <f>SUMIFS(BW2:BW53,G2:G53,"PCAB",E2:E53,"0348",F2:F53,"00")</f>
        <v>0</v>
      </c>
      <c r="BX58" s="388">
        <f>SUMIFS(BX2:BX53,G2:G53,"PCAB",E2:E53,"0348",F2:F53,"00")</f>
        <v>0</v>
      </c>
      <c r="BY58" s="388">
        <f>SUMIFS(BY2:BY53,G2:G53,"PCAB",E2:E53,"0348",F2:F53,"00")</f>
        <v>0</v>
      </c>
      <c r="BZ58" s="388">
        <f>SUMIFS(BZ2:BZ53,G2:G53,"PCAB",E2:E53,"0348",F2:F53,"00")</f>
        <v>0</v>
      </c>
      <c r="CA58" s="388">
        <f>SUMIFS(CA2:CA53,G2:G53,"PCAB",E2:E53,"0348",F2:F53,"00")</f>
        <v>0</v>
      </c>
      <c r="CB58" s="388">
        <f>SUMIFS(CB2:CB53,G2:G53,"PCAB",E2:E53,"0348",F2:F53,"00")</f>
        <v>0</v>
      </c>
      <c r="CC58" s="388">
        <f>SUMIFS(CC2:CC53,G2:G53,"PCAB",E2:E53,"0348",F2:F53,"00")</f>
        <v>0</v>
      </c>
      <c r="CD58" s="388">
        <f>SUMIFS(CD2:CD53,G2:G53,"PCAB",E2:E53,"0348",F2:F53,"00")</f>
        <v>0</v>
      </c>
      <c r="CE58" s="388">
        <f>SUMIFS(CE2:CE53,G2:G53,"PCAB",E2:E53,"0348",F2:F53,"00")</f>
        <v>0</v>
      </c>
      <c r="CF58" s="388">
        <f>SUMIFS(CF2:CF53,G2:G53,"PCAB",E2:E53,"0348",F2:F53,"00")</f>
        <v>0</v>
      </c>
      <c r="CG58" s="388">
        <f>SUMIFS(CG2:CG53,G2:G53,"PCAB",E2:E53,"0348",F2:F53,"00")</f>
        <v>0</v>
      </c>
      <c r="CH58" s="388">
        <f>SUMIFS(CH2:CH53,G2:G53,"PCAB",E2:E53,"0348",F2:F53,"00")</f>
        <v>0</v>
      </c>
      <c r="CI58" s="388">
        <f>SUMIFS(CI2:CI53,G2:G53,"PCAB",E2:E53,"0348",F2:F53,"00")</f>
        <v>0</v>
      </c>
      <c r="CJ58" s="388">
        <f>SUMIFS(CJ2:CJ53,G2:G53,"PCAB",E2:E53,"0348",F2:F53,"00")</f>
        <v>0</v>
      </c>
      <c r="CK58" s="388">
        <f>SUMIFS(CK2:CK53,G2:G53,"PCAB",E2:E53,"0348",F2:F53,"00")</f>
        <v>0</v>
      </c>
      <c r="CL58" s="388">
        <f>SUMIFS(CL2:CL53,G2:G53,"PCAB",E2:E53,"0348",F2:F53,"00")</f>
        <v>0</v>
      </c>
      <c r="CM58" s="388">
        <f>SUMIFS(CM2:CM53,G2:G53,"PCAB",E2:E53,"0348",F2:F53,"00")</f>
        <v>0</v>
      </c>
    </row>
    <row r="59" spans="1:92" ht="18.75">
      <c r="AQ59" s="394" t="s">
        <v>479</v>
      </c>
      <c r="AS59" s="395">
        <f t="shared" ref="AS59:CM59" si="72">SUM(AS58:AS58)</f>
        <v>0</v>
      </c>
      <c r="AT59" s="395">
        <f t="shared" si="72"/>
        <v>0</v>
      </c>
      <c r="AU59" s="395">
        <f t="shared" si="72"/>
        <v>0</v>
      </c>
      <c r="AV59" s="395">
        <f t="shared" si="72"/>
        <v>0</v>
      </c>
      <c r="AW59" s="395">
        <f t="shared" si="72"/>
        <v>6</v>
      </c>
      <c r="AX59" s="395">
        <f t="shared" si="72"/>
        <v>0</v>
      </c>
      <c r="AY59" s="395">
        <f t="shared" si="72"/>
        <v>0</v>
      </c>
      <c r="AZ59" s="395">
        <f t="shared" si="72"/>
        <v>0</v>
      </c>
      <c r="BA59" s="395">
        <f t="shared" si="72"/>
        <v>0</v>
      </c>
      <c r="BB59" s="395">
        <f t="shared" si="72"/>
        <v>0</v>
      </c>
      <c r="BC59" s="395">
        <f t="shared" si="72"/>
        <v>0</v>
      </c>
      <c r="BD59" s="395">
        <f t="shared" si="72"/>
        <v>0</v>
      </c>
      <c r="BE59" s="395">
        <f t="shared" si="72"/>
        <v>0</v>
      </c>
      <c r="BF59" s="395">
        <f t="shared" si="72"/>
        <v>0</v>
      </c>
      <c r="BG59" s="395">
        <f t="shared" si="72"/>
        <v>0</v>
      </c>
      <c r="BH59" s="395">
        <f t="shared" si="72"/>
        <v>0</v>
      </c>
      <c r="BI59" s="395">
        <f t="shared" si="72"/>
        <v>0</v>
      </c>
      <c r="BJ59" s="395">
        <f t="shared" si="72"/>
        <v>0</v>
      </c>
      <c r="BK59" s="395">
        <f t="shared" si="72"/>
        <v>0</v>
      </c>
      <c r="BL59" s="395">
        <f t="shared" si="72"/>
        <v>0</v>
      </c>
      <c r="BM59" s="395">
        <f t="shared" si="72"/>
        <v>0</v>
      </c>
      <c r="BN59" s="395">
        <f t="shared" si="72"/>
        <v>0</v>
      </c>
      <c r="BO59" s="395">
        <f t="shared" si="72"/>
        <v>0</v>
      </c>
      <c r="BP59" s="395">
        <f t="shared" si="72"/>
        <v>0</v>
      </c>
      <c r="BQ59" s="395">
        <f t="shared" si="72"/>
        <v>0</v>
      </c>
      <c r="BR59" s="395">
        <f t="shared" si="72"/>
        <v>0</v>
      </c>
      <c r="BS59" s="395">
        <f t="shared" si="72"/>
        <v>0</v>
      </c>
      <c r="BT59" s="395">
        <f t="shared" si="72"/>
        <v>0</v>
      </c>
      <c r="BU59" s="395">
        <f t="shared" si="72"/>
        <v>0</v>
      </c>
      <c r="BV59" s="395">
        <f t="shared" si="72"/>
        <v>0</v>
      </c>
      <c r="BW59" s="395">
        <f t="shared" si="72"/>
        <v>0</v>
      </c>
      <c r="BX59" s="395">
        <f t="shared" si="72"/>
        <v>0</v>
      </c>
      <c r="BY59" s="395">
        <f t="shared" si="72"/>
        <v>0</v>
      </c>
      <c r="BZ59" s="395">
        <f t="shared" si="72"/>
        <v>0</v>
      </c>
      <c r="CA59" s="395">
        <f t="shared" si="72"/>
        <v>0</v>
      </c>
      <c r="CB59" s="395">
        <f t="shared" si="72"/>
        <v>0</v>
      </c>
      <c r="CC59" s="395">
        <f t="shared" si="72"/>
        <v>0</v>
      </c>
      <c r="CD59" s="395">
        <f t="shared" si="72"/>
        <v>0</v>
      </c>
      <c r="CE59" s="395">
        <f t="shared" si="72"/>
        <v>0</v>
      </c>
      <c r="CF59" s="395">
        <f t="shared" si="72"/>
        <v>0</v>
      </c>
      <c r="CG59" s="395">
        <f t="shared" si="72"/>
        <v>0</v>
      </c>
      <c r="CH59" s="395">
        <f t="shared" si="72"/>
        <v>0</v>
      </c>
      <c r="CI59" s="395">
        <f t="shared" si="72"/>
        <v>0</v>
      </c>
      <c r="CJ59" s="395">
        <f t="shared" si="72"/>
        <v>0</v>
      </c>
      <c r="CK59" s="395">
        <f t="shared" si="72"/>
        <v>0</v>
      </c>
      <c r="CL59" s="395">
        <f t="shared" si="72"/>
        <v>0</v>
      </c>
      <c r="CM59" s="395">
        <f t="shared" si="72"/>
        <v>0</v>
      </c>
    </row>
    <row r="61" spans="1:92" ht="21">
      <c r="AO61" s="251" t="s">
        <v>95</v>
      </c>
      <c r="AP61" s="251"/>
      <c r="AQ61" s="251"/>
    </row>
    <row r="63" spans="1:92" ht="21">
      <c r="AO63" s="252"/>
      <c r="AP63" s="252"/>
      <c r="AQ63" s="252"/>
    </row>
    <row r="64" spans="1:92" ht="15.75">
      <c r="AS64" s="374" t="s">
        <v>81</v>
      </c>
      <c r="AT64" s="478" t="s">
        <v>487</v>
      </c>
      <c r="AU64" s="478"/>
      <c r="AV64" s="479" t="s">
        <v>485</v>
      </c>
      <c r="AW64" s="478" t="s">
        <v>488</v>
      </c>
      <c r="AX64" s="478"/>
      <c r="AY64" s="479" t="s">
        <v>486</v>
      </c>
      <c r="AZ64" s="478" t="s">
        <v>489</v>
      </c>
      <c r="BA64" s="478"/>
    </row>
    <row r="65" spans="41:123" ht="15.75">
      <c r="AS65" s="249"/>
      <c r="AT65" s="374" t="s">
        <v>92</v>
      </c>
      <c r="AU65" s="373" t="s">
        <v>94</v>
      </c>
      <c r="AV65" s="480"/>
      <c r="AW65" s="374" t="s">
        <v>96</v>
      </c>
      <c r="AX65" s="373" t="s">
        <v>93</v>
      </c>
      <c r="AY65" s="480"/>
      <c r="AZ65" s="374" t="s">
        <v>96</v>
      </c>
      <c r="BA65" s="373" t="s">
        <v>93</v>
      </c>
    </row>
    <row r="66" spans="41:123">
      <c r="AO66" s="393" t="s">
        <v>490</v>
      </c>
    </row>
    <row r="67" spans="41:123">
      <c r="AQ67" t="s">
        <v>475</v>
      </c>
      <c r="AS67" s="388">
        <f>SUM(SUMIFS(AS2:AS53,CN2:CN53,AQ67,E2:E53,"0229",F2:F53,"20",AT2:AT53,{1,3}))</f>
        <v>41</v>
      </c>
      <c r="AT67" s="388">
        <f>SUMPRODUCT(--(CN2:CN53=AQ67),--(N2:N53&lt;&gt;"NG"),--(AG2:AG53&lt;&gt;"D"),--(AR2:AR53&lt;&gt;6),--(AR2:AR53&lt;&gt;36),--(AR2:AR53&lt;&gt;56),T2:T53)+SUMPRODUCT(--(CN2:CN53=AQ67),--(N2:N53&lt;&gt;"NG"),--(AG2:AG53&lt;&gt;"D"),--(AR2:AR53&lt;&gt;6),--(AR2:AR53&lt;&gt;36),--(AR2:AR53&lt;&gt;56),U2:U53)</f>
        <v>2630137.9899999993</v>
      </c>
      <c r="AU67" s="388">
        <f>SUMPRODUCT(--(CN2:CN53=AQ67),--(N2:N53&lt;&gt;"NG"),--(AG2:AG53&lt;&gt;"D"),--(AR2:AR53&lt;&gt;6),--(AR2:AR53&lt;&gt;36),--(AR2:AR53&lt;&gt;56),V2:V53)</f>
        <v>981105.21999999974</v>
      </c>
      <c r="AV67" s="388">
        <f>SUMPRODUCT(--(CN2:CN53=AQ67),AY2:AY53)+SUMPRODUCT(--(CN2:CN53=AQ67),AZ2:AZ53)</f>
        <v>3033371.6</v>
      </c>
      <c r="AW67" s="388">
        <f>SUMPRODUCT(--(CN2:CN53=AQ67),BB2:BB53)+SUMPRODUCT(--(CN2:CN53=AQ67),BC2:BC53)</f>
        <v>512500</v>
      </c>
      <c r="AX67" s="388">
        <f>SUMPRODUCT(--(CN2:CN53=AQ67),BL2:BL53)+SUMPRODUCT(--(CN2:CN53=AQ67),BM2:BM53)</f>
        <v>645576.31732400006</v>
      </c>
      <c r="AY67" s="388">
        <f>SUMPRODUCT(--(CN2:CN53=AQ67),AY2:AY53)+SUMPRODUCT(--(CN2:CN53=AQ67),AZ2:AZ53)+SUMPRODUCT(--(CN2:CN53=AQ67),BA2:BA53)</f>
        <v>3033371.6</v>
      </c>
      <c r="AZ67" s="388">
        <f>SUMPRODUCT(--(CN2:CN53=AQ67),BN2:BN53)+SUMPRODUCT(--(CN2:CN53=AQ67),BO2:BO53)</f>
        <v>563750</v>
      </c>
      <c r="BA67" s="388">
        <f>SUMPRODUCT(--(CN2:CN53=AQ67),BX2:BX53)+SUMPRODUCT(--(CN2:CN53=AQ67),BY2:BY53)</f>
        <v>623086.43032399984</v>
      </c>
    </row>
    <row r="68" spans="41:123">
      <c r="AP68" t="s">
        <v>491</v>
      </c>
      <c r="AS68" s="399">
        <f t="shared" ref="AS68:BA68" si="73">SUM(AS67:AS67)</f>
        <v>41</v>
      </c>
      <c r="AT68" s="399">
        <f t="shared" si="73"/>
        <v>2630137.9899999993</v>
      </c>
      <c r="AU68" s="399">
        <f t="shared" si="73"/>
        <v>981105.21999999974</v>
      </c>
      <c r="AV68" s="399">
        <f t="shared" si="73"/>
        <v>3033371.6</v>
      </c>
      <c r="AW68" s="399">
        <f t="shared" si="73"/>
        <v>512500</v>
      </c>
      <c r="AX68" s="399">
        <f t="shared" si="73"/>
        <v>645576.31732400006</v>
      </c>
      <c r="AY68" s="399">
        <f t="shared" si="73"/>
        <v>3033371.6</v>
      </c>
      <c r="AZ68" s="399">
        <f t="shared" si="73"/>
        <v>563750</v>
      </c>
      <c r="BA68" s="399">
        <f t="shared" si="73"/>
        <v>623086.43032399984</v>
      </c>
    </row>
    <row r="69" spans="41:123">
      <c r="AQ69" t="s">
        <v>481</v>
      </c>
      <c r="AS69" s="388">
        <f>SUM(SUMIFS(AS2:AS53,CN2:CN53,AQ69,E2:E53,"0348",F2:F53,"00",AT2:AT53,{1,3}))</f>
        <v>0</v>
      </c>
      <c r="AT69" s="388">
        <f>SUMPRODUCT(--(CN2:CN53=AQ69),--(N2:N53&lt;&gt;"NG"),--(AG2:AG53&lt;&gt;"D"),--(AR2:AR53&lt;&gt;6),--(AR2:AR53&lt;&gt;36),--(AR2:AR53&lt;&gt;56),T2:T53)+SUMPRODUCT(--(CN2:CN53=AQ69),--(N2:N53&lt;&gt;"NG"),--(AG2:AG53&lt;&gt;"D"),--(AR2:AR53&lt;&gt;6),--(AR2:AR53&lt;&gt;36),--(AR2:AR53&lt;&gt;56),U2:U53)</f>
        <v>87949.38</v>
      </c>
      <c r="AU69" s="388">
        <f>SUMPRODUCT(--(CN2:CN53=AQ69),--(N2:N53&lt;&gt;"NG"),--(AG2:AG53&lt;&gt;"D"),--(AR2:AR53&lt;&gt;6),--(AR2:AR53&lt;&gt;36),--(AR2:AR53&lt;&gt;56),V2:V53)</f>
        <v>37675.18</v>
      </c>
      <c r="AV69" s="388">
        <f>SUMPRODUCT(--(CN2:CN53=AQ69),AY2:AY53)+SUMPRODUCT(--(CN2:CN53=AQ69),AZ2:AZ53)</f>
        <v>0</v>
      </c>
      <c r="AW69" s="388">
        <f>SUMPRODUCT(--(CN2:CN53=AQ69),BB2:BB53)+SUMPRODUCT(--(CN2:CN53=AQ69),BC2:BC53)</f>
        <v>0</v>
      </c>
      <c r="AX69" s="388">
        <f>SUMPRODUCT(--(CN2:CN53=AQ69),BL2:BL53)+SUMPRODUCT(--(CN2:CN53=AQ69),BM2:BM53)</f>
        <v>0</v>
      </c>
      <c r="AY69" s="388">
        <f>SUMPRODUCT(--(CN2:CN53=AQ69),AY2:AY53)+SUMPRODUCT(--(CN2:CN53=AQ69),AZ2:AZ53)+SUMPRODUCT(--(CN2:CN53=AQ69),BA2:BA53)</f>
        <v>0</v>
      </c>
      <c r="AZ69" s="388">
        <f>SUMPRODUCT(--(CN2:CN53=AQ69),BN2:BN53)+SUMPRODUCT(--(CN2:CN53=AQ69),BO2:BO53)</f>
        <v>0</v>
      </c>
      <c r="BA69" s="388">
        <f>SUMPRODUCT(--(CN2:CN53=AQ69),BX2:BX53)+SUMPRODUCT(--(CN2:CN53=AQ69),BY2:BY53)</f>
        <v>0</v>
      </c>
    </row>
    <row r="70" spans="41:123">
      <c r="AP70" t="s">
        <v>492</v>
      </c>
      <c r="AS70" s="399">
        <f t="shared" ref="AS70:BA70" si="74">SUM(AS69:AS69)</f>
        <v>0</v>
      </c>
      <c r="AT70" s="399">
        <f t="shared" si="74"/>
        <v>87949.38</v>
      </c>
      <c r="AU70" s="399">
        <f t="shared" si="74"/>
        <v>37675.18</v>
      </c>
      <c r="AV70" s="399">
        <f t="shared" si="74"/>
        <v>0</v>
      </c>
      <c r="AW70" s="399">
        <f t="shared" si="74"/>
        <v>0</v>
      </c>
      <c r="AX70" s="399">
        <f t="shared" si="74"/>
        <v>0</v>
      </c>
      <c r="AY70" s="399">
        <f t="shared" si="74"/>
        <v>0</v>
      </c>
      <c r="AZ70" s="399">
        <f t="shared" si="74"/>
        <v>0</v>
      </c>
      <c r="BA70" s="399">
        <f t="shared" si="74"/>
        <v>0</v>
      </c>
    </row>
    <row r="71" spans="41:123">
      <c r="AS71" s="388"/>
      <c r="AT71" s="388"/>
      <c r="AU71" s="388"/>
      <c r="AV71" s="388"/>
      <c r="AW71" s="388"/>
      <c r="AX71" s="388"/>
      <c r="AY71" s="388"/>
      <c r="AZ71" s="388"/>
      <c r="BA71" s="388"/>
    </row>
    <row r="72" spans="41:123">
      <c r="AO72" s="397" t="s">
        <v>493</v>
      </c>
      <c r="AS72" s="400">
        <f t="shared" ref="AS72:BA72" si="75">SUM(AS68,AS70)</f>
        <v>41</v>
      </c>
      <c r="AT72" s="400">
        <f t="shared" si="75"/>
        <v>2718087.3699999992</v>
      </c>
      <c r="AU72" s="400">
        <f t="shared" si="75"/>
        <v>1018780.3999999998</v>
      </c>
      <c r="AV72" s="400">
        <f t="shared" si="75"/>
        <v>3033371.6</v>
      </c>
      <c r="AW72" s="400">
        <f t="shared" si="75"/>
        <v>512500</v>
      </c>
      <c r="AX72" s="400">
        <f t="shared" si="75"/>
        <v>645576.31732400006</v>
      </c>
      <c r="AY72" s="400">
        <f t="shared" si="75"/>
        <v>3033371.6</v>
      </c>
      <c r="AZ72" s="400">
        <f t="shared" si="75"/>
        <v>563750</v>
      </c>
      <c r="BA72" s="400">
        <f t="shared" si="75"/>
        <v>623086.43032399984</v>
      </c>
    </row>
    <row r="73" spans="41:123">
      <c r="AS73" s="388"/>
      <c r="AT73" s="388"/>
      <c r="AU73" s="388"/>
      <c r="AV73" s="388"/>
      <c r="AW73" s="388"/>
      <c r="AX73" s="388"/>
      <c r="AY73" s="388"/>
      <c r="AZ73" s="388"/>
      <c r="BA73" s="388"/>
    </row>
    <row r="74" spans="41:123">
      <c r="AO74" s="393" t="s">
        <v>494</v>
      </c>
      <c r="AS74" s="388"/>
      <c r="AT74" s="388"/>
      <c r="AU74" s="388"/>
      <c r="AV74" s="388"/>
      <c r="AW74" s="388"/>
      <c r="AX74" s="388"/>
      <c r="AY74" s="388"/>
      <c r="AZ74" s="388"/>
      <c r="BA74" s="388"/>
    </row>
    <row r="75" spans="41:123">
      <c r="AQ75" t="s">
        <v>475</v>
      </c>
      <c r="AS75" s="388"/>
      <c r="AT75" s="388">
        <f>SUMIF(CN2:CN53,AQ75,CL2:CL53)</f>
        <v>6732</v>
      </c>
      <c r="AU75" s="388">
        <f>SUMIF(CN2:CN53,AQ75,CM2:CM53)</f>
        <v>640.66</v>
      </c>
      <c r="AV75" s="388">
        <f>SUMIF(CN2:CN53,AQ75,CL2:CL53)</f>
        <v>6732</v>
      </c>
      <c r="AW75" s="388">
        <v>0</v>
      </c>
      <c r="AX75" s="388">
        <f>SUMIF(CN2:CN53,AQ75,CM2:CM53)</f>
        <v>640.66</v>
      </c>
      <c r="AY75" s="388">
        <f>SUMIF(CN2:CN53,AQ75,CL2:CL53)</f>
        <v>6732</v>
      </c>
      <c r="AZ75" s="388">
        <v>0</v>
      </c>
      <c r="BA75" s="388">
        <f>SUMIF(CN2:CN53,AQ75,CM2:CM53)</f>
        <v>640.66</v>
      </c>
    </row>
    <row r="76" spans="41:123">
      <c r="AP76" t="s">
        <v>491</v>
      </c>
      <c r="AS76" s="399"/>
      <c r="AT76" s="399">
        <f t="shared" ref="AT76:BA76" si="76">SUM(AT75:AT75)</f>
        <v>6732</v>
      </c>
      <c r="AU76" s="399">
        <f t="shared" si="76"/>
        <v>640.66</v>
      </c>
      <c r="AV76" s="399">
        <f t="shared" si="76"/>
        <v>6732</v>
      </c>
      <c r="AW76" s="399">
        <f t="shared" si="76"/>
        <v>0</v>
      </c>
      <c r="AX76" s="399">
        <f t="shared" si="76"/>
        <v>640.66</v>
      </c>
      <c r="AY76" s="399">
        <f t="shared" si="76"/>
        <v>6732</v>
      </c>
      <c r="AZ76" s="399">
        <f t="shared" si="76"/>
        <v>0</v>
      </c>
      <c r="BA76" s="399">
        <f t="shared" si="76"/>
        <v>640.66</v>
      </c>
    </row>
    <row r="77" spans="41:123">
      <c r="AS77" s="388"/>
      <c r="AT77" s="388"/>
      <c r="AU77" s="388"/>
      <c r="AV77" s="388"/>
      <c r="AW77" s="388"/>
      <c r="AX77" s="388"/>
      <c r="AY77" s="388"/>
      <c r="AZ77" s="388"/>
      <c r="BA77" s="388"/>
    </row>
    <row r="78" spans="41:123">
      <c r="AO78" s="397" t="s">
        <v>495</v>
      </c>
      <c r="AS78" s="400">
        <f t="shared" ref="AS78:BA78" si="77">SUM(AS76)</f>
        <v>0</v>
      </c>
      <c r="AT78" s="400">
        <f t="shared" si="77"/>
        <v>6732</v>
      </c>
      <c r="AU78" s="400">
        <f t="shared" si="77"/>
        <v>640.66</v>
      </c>
      <c r="AV78" s="400">
        <f t="shared" si="77"/>
        <v>6732</v>
      </c>
      <c r="AW78" s="400">
        <f t="shared" si="77"/>
        <v>0</v>
      </c>
      <c r="AX78" s="400">
        <f t="shared" si="77"/>
        <v>640.66</v>
      </c>
      <c r="AY78" s="400">
        <f t="shared" si="77"/>
        <v>6732</v>
      </c>
      <c r="AZ78" s="400">
        <f t="shared" si="77"/>
        <v>0</v>
      </c>
      <c r="BA78" s="400">
        <f t="shared" si="77"/>
        <v>640.66</v>
      </c>
      <c r="DM78" s="393"/>
      <c r="DS78" s="393"/>
    </row>
    <row r="79" spans="41:123">
      <c r="AS79" s="388"/>
      <c r="AT79" s="388"/>
      <c r="AU79" s="388"/>
      <c r="AV79" s="388"/>
      <c r="AW79" s="388"/>
      <c r="AX79" s="388"/>
      <c r="AY79" s="388"/>
      <c r="AZ79" s="388"/>
      <c r="BA79" s="388"/>
    </row>
    <row r="80" spans="41:123">
      <c r="AO80" s="398" t="s">
        <v>496</v>
      </c>
      <c r="AS80" s="401">
        <f t="shared" ref="AS80:BA80" si="78">SUM(AS72,AS78)</f>
        <v>41</v>
      </c>
      <c r="AT80" s="402">
        <f t="shared" si="78"/>
        <v>2724819.3699999992</v>
      </c>
      <c r="AU80" s="402">
        <f t="shared" si="78"/>
        <v>1019421.0599999998</v>
      </c>
      <c r="AV80" s="402">
        <f t="shared" si="78"/>
        <v>3040103.6</v>
      </c>
      <c r="AW80" s="402">
        <f t="shared" si="78"/>
        <v>512500</v>
      </c>
      <c r="AX80" s="402">
        <f t="shared" si="78"/>
        <v>646216.97732400009</v>
      </c>
      <c r="AY80" s="402">
        <f t="shared" si="78"/>
        <v>3040103.6</v>
      </c>
      <c r="AZ80" s="402">
        <f t="shared" si="78"/>
        <v>563750</v>
      </c>
      <c r="BA80" s="402">
        <f t="shared" si="78"/>
        <v>623727.09032399987</v>
      </c>
    </row>
  </sheetData>
  <mergeCells count="5">
    <mergeCell ref="AT64:AU64"/>
    <mergeCell ref="AV64:AV65"/>
    <mergeCell ref="AW64:AX64"/>
    <mergeCell ref="AY64:AY65"/>
    <mergeCell ref="AZ64:BA6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>
      <c r="A1" s="481"/>
      <c r="B1" s="481"/>
      <c r="C1" s="481"/>
      <c r="D1" s="481"/>
      <c r="E1" s="481"/>
    </row>
    <row r="2" spans="1:15" ht="28.5" customHeight="1">
      <c r="A2" s="2" t="s">
        <v>10</v>
      </c>
      <c r="B2" s="2"/>
      <c r="C2" s="2"/>
      <c r="D2" s="2"/>
      <c r="E2" s="2"/>
    </row>
    <row r="3" spans="1:15">
      <c r="A3" s="3"/>
      <c r="B3" s="3"/>
      <c r="C3" s="4" t="s">
        <v>0</v>
      </c>
      <c r="D3" s="4" t="s">
        <v>1</v>
      </c>
      <c r="E3" s="3"/>
    </row>
    <row r="4" spans="1:15" ht="39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>
      <c r="A8" s="3"/>
      <c r="B8" s="130" t="s">
        <v>5</v>
      </c>
      <c r="C8" s="235">
        <v>6.0000000000000001E-3</v>
      </c>
      <c r="D8" s="234">
        <v>6.1000000000000004E-3</v>
      </c>
      <c r="E8" s="314">
        <f t="shared" si="0"/>
        <v>1.0000000000000026E-4</v>
      </c>
    </row>
    <row r="9" spans="1:1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>
      <c r="A12" s="3"/>
      <c r="B12" s="233" t="s">
        <v>11</v>
      </c>
      <c r="C12" s="234">
        <f>SUM(C5:C11)</f>
        <v>9.5244999999999996E-2</v>
      </c>
      <c r="D12" s="234">
        <f>SUM(D5:D11)</f>
        <v>9.5344999999999985E-2</v>
      </c>
      <c r="E12" s="315">
        <f>D12-C12</f>
        <v>9.9999999999988987E-5</v>
      </c>
      <c r="M12" s="320"/>
    </row>
    <row r="13" spans="1:15">
      <c r="A13" s="3"/>
      <c r="B13" s="231" t="s">
        <v>9</v>
      </c>
      <c r="C13" s="226">
        <f>SUM(C5:C8)</f>
        <v>8.2500000000000004E-2</v>
      </c>
      <c r="D13" s="226">
        <f>SUM(D5:D8)</f>
        <v>8.2599999999999993E-2</v>
      </c>
      <c r="E13" s="313">
        <f t="shared" si="0"/>
        <v>9.9999999999988987E-5</v>
      </c>
      <c r="F13" s="8"/>
    </row>
    <row r="14" spans="1:15">
      <c r="A14" s="230"/>
      <c r="B14" s="232" t="s">
        <v>100</v>
      </c>
      <c r="C14" s="226">
        <f>SUM(C5:C6,C8:C9)</f>
        <v>8.9709999999999998E-2</v>
      </c>
      <c r="D14" s="226">
        <f>SUM(D5:D6,D8:D9)</f>
        <v>8.9809999999999987E-2</v>
      </c>
      <c r="E14" s="313">
        <f>D14-C14</f>
        <v>9.9999999999988987E-5</v>
      </c>
      <c r="M14" s="320"/>
    </row>
    <row r="15" spans="1:15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>
      <c r="B17" s="130"/>
      <c r="D17" s="1" t="s">
        <v>45</v>
      </c>
      <c r="K17" s="319"/>
    </row>
    <row r="18" spans="1:11" ht="12" customHeight="1">
      <c r="C18" s="1" t="s">
        <v>45</v>
      </c>
    </row>
    <row r="19" spans="1:11" ht="39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>
      <c r="A28" s="482" t="s">
        <v>108</v>
      </c>
      <c r="B28" s="482"/>
      <c r="C28" s="482"/>
      <c r="D28" s="482"/>
      <c r="E28" s="482"/>
    </row>
    <row r="29" spans="1:11">
      <c r="A29" s="482" t="s">
        <v>109</v>
      </c>
      <c r="B29" s="482"/>
      <c r="C29" s="482"/>
      <c r="D29" s="482"/>
      <c r="E29" s="482"/>
    </row>
    <row r="30" spans="1:11" ht="12.75" customHeight="1">
      <c r="A30" s="247"/>
      <c r="B30" s="247"/>
      <c r="C30" s="247"/>
      <c r="D30" s="247"/>
      <c r="E30" s="247"/>
    </row>
    <row r="31" spans="1:11">
      <c r="A31" s="316" t="s">
        <v>86</v>
      </c>
      <c r="B31" s="316"/>
      <c r="C31" s="247"/>
      <c r="D31" s="247"/>
      <c r="E31" s="247"/>
    </row>
    <row r="32" spans="1:11">
      <c r="A32" s="316"/>
      <c r="B32" s="316" t="s">
        <v>87</v>
      </c>
      <c r="C32" s="247"/>
      <c r="D32" s="247"/>
      <c r="E32" s="247"/>
    </row>
    <row r="33" spans="1:5">
      <c r="A33" s="316"/>
      <c r="B33" s="316" t="s">
        <v>88</v>
      </c>
      <c r="C33" s="247"/>
      <c r="D33" s="247"/>
      <c r="E33" s="247"/>
    </row>
    <row r="34" spans="1:5">
      <c r="A34" s="316"/>
      <c r="B34" s="316" t="s">
        <v>89</v>
      </c>
      <c r="C34" s="247"/>
      <c r="D34" s="247"/>
      <c r="E34" s="247"/>
    </row>
    <row r="35" spans="1:5">
      <c r="A35" s="316"/>
      <c r="B35" s="316" t="s">
        <v>90</v>
      </c>
      <c r="C35" s="247"/>
      <c r="D35" s="247"/>
      <c r="E35" s="247"/>
    </row>
    <row r="36" spans="1:5">
      <c r="A36" s="316"/>
      <c r="B36" s="316" t="s">
        <v>91</v>
      </c>
      <c r="C36" s="247"/>
      <c r="D36" s="247"/>
      <c r="E36" s="247"/>
    </row>
    <row r="38" spans="1:5">
      <c r="B38" s="317" t="s">
        <v>101</v>
      </c>
      <c r="C38" s="318">
        <v>0.01</v>
      </c>
    </row>
    <row r="39" spans="1:5">
      <c r="B39" s="341" t="s">
        <v>102</v>
      </c>
      <c r="C39" s="340">
        <v>0.01</v>
      </c>
    </row>
    <row r="40" spans="1:5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8"/>
      <c r="N1" s="409"/>
      <c r="AA1" s="337"/>
      <c r="AB1" s="333"/>
      <c r="AC1" s="333"/>
      <c r="AD1" s="325"/>
    </row>
    <row r="2" spans="1:94" ht="2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10"/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8"/>
      <c r="N3" s="409"/>
      <c r="AA3" s="337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37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/>
      <c r="J5" s="412"/>
      <c r="K5" s="412"/>
      <c r="L5" s="411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256" t="s">
        <v>21</v>
      </c>
      <c r="C8" s="413" t="s">
        <v>22</v>
      </c>
      <c r="D8" s="414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ht="1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9" priority="8">
      <formula>$J$44&lt;0</formula>
    </cfRule>
  </conditionalFormatting>
  <conditionalFormatting sqref="K43">
    <cfRule type="expression" dxfId="8" priority="7">
      <formula>$J$43&lt;0</formula>
    </cfRule>
  </conditionalFormatting>
  <conditionalFormatting sqref="L16">
    <cfRule type="expression" dxfId="7" priority="6">
      <formula>$J$16&lt;0</formula>
    </cfRule>
  </conditionalFormatting>
  <conditionalFormatting sqref="K45">
    <cfRule type="expression" dxfId="6" priority="5">
      <formula>$J$44&lt;0</formula>
    </cfRule>
  </conditionalFormatting>
  <conditionalFormatting sqref="K43:N45">
    <cfRule type="containsText" dxfId="5" priority="4" operator="containsText" text="underfunding">
      <formula>NOT(ISERROR(SEARCH("underfunding",K43)))</formula>
    </cfRule>
  </conditionalFormatting>
  <conditionalFormatting sqref="K44">
    <cfRule type="expression" dxfId="4" priority="3">
      <formula>$J$44&lt;0</formula>
    </cfRule>
  </conditionalFormatting>
  <conditionalFormatting sqref="K45">
    <cfRule type="expression" dxfId="3" priority="2">
      <formula>$J$44&lt;0</formula>
    </cfRule>
  </conditionalFormatting>
  <conditionalFormatting sqref="K45">
    <cfRule type="expression" dxfId="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>
      <c r="A1" s="396" t="s">
        <v>477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>
      <c r="A2" s="413" t="s">
        <v>22</v>
      </c>
      <c r="B2" s="414"/>
      <c r="C2" s="371" t="s">
        <v>23</v>
      </c>
      <c r="D2" s="49" t="s">
        <v>24</v>
      </c>
      <c r="E2" s="50" t="str">
        <f>"FY "&amp;'PCAB|0229-20'!FiscalYear-1&amp;" SALARY"</f>
        <v>FY 2023 SALARY</v>
      </c>
      <c r="F2" s="50" t="str">
        <f>"FY "&amp;'PCAB|0229-20'!FiscalYear-1&amp;" HEALTH BENEFITS"</f>
        <v>FY 2023 HEALTH BENEFITS</v>
      </c>
      <c r="G2" s="50" t="str">
        <f>"FY "&amp;'PCAB|0229-20'!FiscalYear-1&amp;" VAR BENEFITS"</f>
        <v>FY 2023 VAR BENEFITS</v>
      </c>
      <c r="H2" s="50" t="str">
        <f>"FY "&amp;'PCAB|0229-20'!FiscalYear-1&amp;" TOTAL"</f>
        <v>FY 2023 TOTAL</v>
      </c>
      <c r="I2" s="50" t="str">
        <f>"FY "&amp;'PCAB|0229-20'!FiscalYear&amp;" SALARY CHANGE"</f>
        <v>FY 2024 SALARY CHANGE</v>
      </c>
      <c r="J2" s="50" t="str">
        <f>"FY "&amp;'PCAB|0229-20'!FiscalYear&amp;" CHG HEALTH BENEFITS"</f>
        <v>FY 2024 CHG HEALTH BENEFITS</v>
      </c>
      <c r="K2" s="50" t="str">
        <f>"FY "&amp;'PCAB|0229-20'!FiscalYear&amp;" CHG VAR BENEFITS"</f>
        <v>FY 2024 CHG VAR BENEFITS</v>
      </c>
      <c r="L2" s="50" t="s">
        <v>25</v>
      </c>
    </row>
    <row r="3" spans="1:12">
      <c r="A3" s="416" t="s">
        <v>26</v>
      </c>
      <c r="B3" s="417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>
      <c r="A4" s="406" t="s">
        <v>27</v>
      </c>
      <c r="B4" s="407"/>
      <c r="C4" s="217">
        <v>1</v>
      </c>
      <c r="D4" s="288">
        <f>[0]!PCAB022920col_INC_FTI</f>
        <v>38</v>
      </c>
      <c r="E4" s="218">
        <f>[0]!PCAB022920col_FTI_SALARY_PERM</f>
        <v>2672633.6</v>
      </c>
      <c r="F4" s="218">
        <f>[0]!PCAB022920col_HEALTH_PERM</f>
        <v>475000</v>
      </c>
      <c r="G4" s="218">
        <f>[0]!PCAB022920col_TOT_VB_PERM</f>
        <v>570142.39414400002</v>
      </c>
      <c r="H4" s="219">
        <f>SUM(E4:G4)</f>
        <v>3717775.9941440001</v>
      </c>
      <c r="I4" s="219">
        <f>[0]!PCAB022920col_1_27TH_PP</f>
        <v>0</v>
      </c>
      <c r="J4" s="218">
        <f>[0]!PCAB022920col_HEALTH_PERM_CHG</f>
        <v>47500</v>
      </c>
      <c r="K4" s="218">
        <f>[0]!PCAB022920col_TOT_VB_PERM_CHG</f>
        <v>-19784.352000000024</v>
      </c>
      <c r="L4" s="218">
        <f>SUM(J4:K4)</f>
        <v>27715.647999999976</v>
      </c>
    </row>
    <row r="5" spans="1:12">
      <c r="A5" s="406" t="s">
        <v>28</v>
      </c>
      <c r="B5" s="407"/>
      <c r="C5" s="217">
        <v>2</v>
      </c>
      <c r="D5" s="288"/>
      <c r="E5" s="218">
        <f>[0]!PCAB022920col_Group_Salary</f>
        <v>6732</v>
      </c>
      <c r="F5" s="218">
        <v>0</v>
      </c>
      <c r="G5" s="218">
        <f>[0]!PCAB022920col_Group_Ben</f>
        <v>640.66</v>
      </c>
      <c r="H5" s="219">
        <f>SUM(E5:G5)</f>
        <v>7372.66</v>
      </c>
      <c r="I5" s="268"/>
      <c r="J5" s="218"/>
      <c r="K5" s="218"/>
      <c r="L5" s="218"/>
    </row>
    <row r="6" spans="1:12">
      <c r="A6" s="406" t="s">
        <v>29</v>
      </c>
      <c r="B6" s="418"/>
      <c r="C6" s="217">
        <v>3</v>
      </c>
      <c r="D6" s="288">
        <f>[0]!PCAB022920col_TOTAL_ELECT_PCN_FTI</f>
        <v>3</v>
      </c>
      <c r="E6" s="218">
        <f>[0]!PCAB022920col_FTI_SALARY_ELECT</f>
        <v>360738</v>
      </c>
      <c r="F6" s="218">
        <f>[0]!PCAB022920col_HEALTH_ELECT</f>
        <v>37500</v>
      </c>
      <c r="G6" s="218">
        <f>[0]!PCAB022920col_TOT_VB_ELECT</f>
        <v>75433.923179999998</v>
      </c>
      <c r="H6" s="219">
        <f>SUM(E6:G6)</f>
        <v>473671.92317999998</v>
      </c>
      <c r="I6" s="268"/>
      <c r="J6" s="218">
        <f>[0]!PCAB022920col_HEALTH_ELECT_CHG</f>
        <v>3750</v>
      </c>
      <c r="K6" s="218">
        <f>[0]!PCAB022920col_TOT_VB_ELECT_CHG</f>
        <v>-2705.535000000003</v>
      </c>
      <c r="L6" s="219">
        <f>SUM(J6:K6)</f>
        <v>1044.464999999997</v>
      </c>
    </row>
    <row r="7" spans="1:12">
      <c r="A7" s="406" t="s">
        <v>30</v>
      </c>
      <c r="B7" s="407"/>
      <c r="C7" s="217"/>
      <c r="D7" s="220">
        <f>SUM(D4:D6)</f>
        <v>41</v>
      </c>
      <c r="E7" s="221">
        <f>SUM(E4:E6)</f>
        <v>3040103.6</v>
      </c>
      <c r="F7" s="221">
        <f>SUM(F4:F6)</f>
        <v>512500</v>
      </c>
      <c r="G7" s="221">
        <f>SUM(G4:G6)</f>
        <v>646216.97732400009</v>
      </c>
      <c r="H7" s="219">
        <f>SUM(E7:G7)</f>
        <v>4198820.5773240002</v>
      </c>
      <c r="I7" s="268"/>
      <c r="J7" s="219">
        <f>SUM(J4:J6)</f>
        <v>51250</v>
      </c>
      <c r="K7" s="219">
        <f>SUM(K4:K6)</f>
        <v>-22489.887000000028</v>
      </c>
      <c r="L7" s="219">
        <f>SUM(L4:L6)</f>
        <v>28760.112999999972</v>
      </c>
    </row>
    <row r="8" spans="1:12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>
      <c r="A9" s="157" t="str">
        <f>"FY "&amp;'PCAB|0229-20'!FiscalYear-1</f>
        <v>FY 2023</v>
      </c>
      <c r="B9" s="158" t="s">
        <v>31</v>
      </c>
      <c r="C9" s="355">
        <v>4703700</v>
      </c>
      <c r="D9" s="55">
        <v>46</v>
      </c>
      <c r="E9" s="223">
        <f>IF('PCAB|0229-20'!OrigApprop=0,0,(E7/H7)*'PCAB|0229-20'!OrigApprop)</f>
        <v>3405655.240556512</v>
      </c>
      <c r="F9" s="223">
        <f>IF('PCAB|0229-20'!OrigApprop=0,0,(F7/H7)*'PCAB|0229-20'!OrigApprop)</f>
        <v>574124.61561678769</v>
      </c>
      <c r="G9" s="223">
        <f>IF(E9=0,0,(G7/H7)*'PCAB|0229-20'!OrigApprop)</f>
        <v>723920.14382670028</v>
      </c>
      <c r="H9" s="223">
        <f>SUM(E9:G9)</f>
        <v>4703700</v>
      </c>
      <c r="I9" s="268"/>
      <c r="J9" s="224"/>
      <c r="K9" s="224"/>
      <c r="L9" s="224"/>
    </row>
    <row r="10" spans="1:12">
      <c r="A10" s="424" t="s">
        <v>32</v>
      </c>
      <c r="B10" s="425"/>
      <c r="C10" s="160" t="s">
        <v>33</v>
      </c>
      <c r="D10" s="161">
        <f>D9-D7</f>
        <v>5</v>
      </c>
      <c r="E10" s="162">
        <f>E9-E7</f>
        <v>365551.64055651193</v>
      </c>
      <c r="F10" s="162">
        <f>F9-F7</f>
        <v>61624.615616787691</v>
      </c>
      <c r="G10" s="162">
        <f>G9-G7</f>
        <v>77703.166502700187</v>
      </c>
      <c r="H10" s="162">
        <f>H9-H7</f>
        <v>504879.42267599981</v>
      </c>
      <c r="I10" s="269"/>
      <c r="J10" s="56" t="str">
        <f>IF('PCAB|0229-20'!OrigApprop=0,"No Original Appropriation amount in DU 3.00 for this fund","Calculated "&amp;IF('PCAB|0229-20'!AdjustedTotal&gt;0,"overfunding ","underfunding ")&amp;"is "&amp;TEXT('PCAB|0229-20'!AdjustedTotal/'PCAB|0229-20'!AppropTotal,"#.0%;(#.0% );0% ;")&amp;" of Original Appropriation")</f>
        <v>Calculated overfunding is 10.7% of Original Appropriation</v>
      </c>
      <c r="K10" s="163"/>
      <c r="L10" s="164"/>
    </row>
    <row r="12" spans="1:12">
      <c r="A12" s="396" t="s">
        <v>483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>
      <c r="A13" s="413" t="s">
        <v>22</v>
      </c>
      <c r="B13" s="414"/>
      <c r="C13" s="371" t="s">
        <v>23</v>
      </c>
      <c r="D13" s="49" t="s">
        <v>24</v>
      </c>
      <c r="E13" s="50" t="str">
        <f>"FY "&amp;'PCAB|0348-00'!FiscalYear-1&amp;" SALARY"</f>
        <v>FY 2023 SALARY</v>
      </c>
      <c r="F13" s="50" t="str">
        <f>"FY "&amp;'PCAB|0348-00'!FiscalYear-1&amp;" HEALTH BENEFITS"</f>
        <v>FY 2023 HEALTH BENEFITS</v>
      </c>
      <c r="G13" s="50" t="str">
        <f>"FY "&amp;'PCAB|0348-00'!FiscalYear-1&amp;" VAR BENEFITS"</f>
        <v>FY 2023 VAR BENEFITS</v>
      </c>
      <c r="H13" s="50" t="str">
        <f>"FY "&amp;'PCAB|0348-00'!FiscalYear-1&amp;" TOTAL"</f>
        <v>FY 2023 TOTAL</v>
      </c>
      <c r="I13" s="50" t="str">
        <f>"FY "&amp;'PCAB|0348-00'!FiscalYear&amp;" SALARY CHANGE"</f>
        <v>FY 2024 SALARY CHANGE</v>
      </c>
      <c r="J13" s="50" t="str">
        <f>"FY "&amp;'PCAB|0348-00'!FiscalYear&amp;" CHG HEALTH BENEFITS"</f>
        <v>FY 2024 CHG HEALTH BENEFITS</v>
      </c>
      <c r="K13" s="50" t="str">
        <f>"FY "&amp;'PCAB|0348-00'!FiscalYear&amp;" CHG VAR BENEFITS"</f>
        <v>FY 2024 CHG VAR BENEFITS</v>
      </c>
      <c r="L13" s="50" t="s">
        <v>25</v>
      </c>
    </row>
    <row r="14" spans="1:12">
      <c r="A14" s="416" t="s">
        <v>26</v>
      </c>
      <c r="B14" s="417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>
      <c r="A15" s="406" t="s">
        <v>27</v>
      </c>
      <c r="B15" s="407"/>
      <c r="C15" s="217">
        <v>1</v>
      </c>
      <c r="D15" s="288">
        <f>[0]!PCAB034800col_INC_FTI</f>
        <v>0</v>
      </c>
      <c r="E15" s="218">
        <f>[0]!PCAB034800col_FTI_SALARY_PERM</f>
        <v>0</v>
      </c>
      <c r="F15" s="218">
        <f>[0]!PCAB034800col_HEALTH_PERM</f>
        <v>0</v>
      </c>
      <c r="G15" s="218">
        <f>[0]!PCAB034800col_TOT_VB_PERM</f>
        <v>0</v>
      </c>
      <c r="H15" s="219">
        <f>SUM(E15:G15)</f>
        <v>0</v>
      </c>
      <c r="I15" s="219">
        <f>[0]!PCAB034800col_1_27TH_PP</f>
        <v>0</v>
      </c>
      <c r="J15" s="218">
        <f>[0]!PCAB034800col_HEALTH_PERM_CHG</f>
        <v>0</v>
      </c>
      <c r="K15" s="218">
        <f>[0]!PCAB034800col_TOT_VB_PERM_CHG</f>
        <v>0</v>
      </c>
      <c r="L15" s="218">
        <f>SUM(J15:K15)</f>
        <v>0</v>
      </c>
    </row>
    <row r="16" spans="1:12">
      <c r="A16" s="406" t="s">
        <v>28</v>
      </c>
      <c r="B16" s="407"/>
      <c r="C16" s="217">
        <v>2</v>
      </c>
      <c r="D16" s="288"/>
      <c r="E16" s="218">
        <f>[0]!PCAB034800col_Group_Salary</f>
        <v>0</v>
      </c>
      <c r="F16" s="218">
        <v>0</v>
      </c>
      <c r="G16" s="218">
        <f>[0]!PCAB034800col_Group_Ben</f>
        <v>0</v>
      </c>
      <c r="H16" s="219">
        <f>SUM(E16:G16)</f>
        <v>0</v>
      </c>
      <c r="I16" s="268"/>
      <c r="J16" s="218"/>
      <c r="K16" s="218"/>
      <c r="L16" s="218"/>
    </row>
    <row r="17" spans="1:12">
      <c r="A17" s="406" t="s">
        <v>29</v>
      </c>
      <c r="B17" s="418"/>
      <c r="C17" s="217">
        <v>3</v>
      </c>
      <c r="D17" s="288">
        <f>[0]!PCAB034800col_TOTAL_ELECT_PCN_FTI</f>
        <v>0</v>
      </c>
      <c r="E17" s="218">
        <f>[0]!PCAB034800col_FTI_SALARY_ELECT</f>
        <v>0</v>
      </c>
      <c r="F17" s="218">
        <f>[0]!PCAB034800col_HEALTH_ELECT</f>
        <v>0</v>
      </c>
      <c r="G17" s="218">
        <f>[0]!PCAB034800col_TOT_VB_ELECT</f>
        <v>0</v>
      </c>
      <c r="H17" s="219">
        <f>SUM(E17:G17)</f>
        <v>0</v>
      </c>
      <c r="I17" s="268"/>
      <c r="J17" s="218">
        <f>[0]!PCAB034800col_HEALTH_ELECT_CHG</f>
        <v>0</v>
      </c>
      <c r="K17" s="218">
        <f>[0]!PCAB034800col_TOT_VB_ELECT_CHG</f>
        <v>0</v>
      </c>
      <c r="L17" s="219">
        <f>SUM(J17:K17)</f>
        <v>0</v>
      </c>
    </row>
    <row r="18" spans="1:12">
      <c r="A18" s="406" t="s">
        <v>30</v>
      </c>
      <c r="B18" s="407"/>
      <c r="C18" s="217"/>
      <c r="D18" s="220">
        <f>SUM(D15:D17)</f>
        <v>0</v>
      </c>
      <c r="E18" s="221">
        <f>SUM(E15:E17)</f>
        <v>0</v>
      </c>
      <c r="F18" s="221">
        <f>SUM(F15:F17)</f>
        <v>0</v>
      </c>
      <c r="G18" s="221">
        <f>SUM(G15:G17)</f>
        <v>0</v>
      </c>
      <c r="H18" s="219">
        <f>SUM(E18:G18)</f>
        <v>0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>
      <c r="A20" s="157" t="str">
        <f>"FY "&amp;'PCAB|0348-00'!FiscalYear-1</f>
        <v>FY 2023</v>
      </c>
      <c r="B20" s="158" t="s">
        <v>31</v>
      </c>
      <c r="C20" s="355">
        <v>289200</v>
      </c>
      <c r="D20" s="55">
        <v>3</v>
      </c>
      <c r="E20" s="223" t="e">
        <f>IF('PCAB|0348-00'!OrigApprop=0,0,(E18/H18)*'PCAB|0348-00'!OrigApprop)</f>
        <v>#DIV/0!</v>
      </c>
      <c r="F20" s="223" t="e">
        <f>IF('PCAB|0348-00'!OrigApprop=0,0,(F18/H18)*'PCAB|0348-00'!OrigApprop)</f>
        <v>#DIV/0!</v>
      </c>
      <c r="G20" s="223" t="e">
        <f>IF(E20=0,0,(G18/H18)*'PCAB|0348-00'!OrigApprop)</f>
        <v>#DIV/0!</v>
      </c>
      <c r="H20" s="223" t="e">
        <f>SUM(E20:G20)</f>
        <v>#DIV/0!</v>
      </c>
      <c r="I20" s="268"/>
      <c r="J20" s="224"/>
      <c r="K20" s="224"/>
      <c r="L20" s="224"/>
    </row>
    <row r="21" spans="1:12">
      <c r="A21" s="424" t="s">
        <v>32</v>
      </c>
      <c r="B21" s="425"/>
      <c r="C21" s="160" t="s">
        <v>33</v>
      </c>
      <c r="D21" s="161">
        <f>D20-D18</f>
        <v>3</v>
      </c>
      <c r="E21" s="162" t="e">
        <f>E20-E18</f>
        <v>#DIV/0!</v>
      </c>
      <c r="F21" s="162" t="e">
        <f>F20-F18</f>
        <v>#DIV/0!</v>
      </c>
      <c r="G21" s="162" t="e">
        <f>G20-G18</f>
        <v>#DIV/0!</v>
      </c>
      <c r="H21" s="162" t="e">
        <f>H20-H18</f>
        <v>#DIV/0!</v>
      </c>
      <c r="I21" s="269"/>
      <c r="J21" s="56" t="e">
        <f>IF('PCAB|0348-00'!OrigApprop=0,"No Original Appropriation amount in DU 3.00 for this fund","Calculated "&amp;IF('PCAB|0348-00'!AdjustedTotal&gt;0,"overfunding ","underfunding ")&amp;"is "&amp;TEXT('PCAB|0348-00'!AdjustedTotal/'PCAB|0348-00'!AppropTotal,"#.0%;(#.0% );0% ;")&amp;" of Original Appropriation")</f>
        <v>#DIV/0!</v>
      </c>
      <c r="K21" s="163"/>
      <c r="L21" s="164"/>
    </row>
  </sheetData>
  <mergeCells count="14">
    <mergeCell ref="A18:B18"/>
    <mergeCell ref="A21:B21"/>
    <mergeCell ref="A10:B10"/>
    <mergeCell ref="A13:B13"/>
    <mergeCell ref="A14:B14"/>
    <mergeCell ref="A15:B15"/>
    <mergeCell ref="A16:B16"/>
    <mergeCell ref="A17:B17"/>
    <mergeCell ref="A7:B7"/>
    <mergeCell ref="A2:B2"/>
    <mergeCell ref="A3:B3"/>
    <mergeCell ref="A4:B4"/>
    <mergeCell ref="A5:B5"/>
    <mergeCell ref="A6:B6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Public Utilities Commission&amp;R&amp;"Arial"&amp;10 Agency 900</oddHeader>
    <oddFooter>&amp;L&amp;"Arial"&amp;10 B6:Summary by Program, by Fund&amp;R&amp;"Arial"&amp;10 FY 2023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>
      <c r="A2" s="251" t="s">
        <v>95</v>
      </c>
      <c r="B2" s="251"/>
      <c r="C2" s="251"/>
    </row>
    <row r="4" spans="1:13" ht="21">
      <c r="A4" s="252"/>
      <c r="B4" s="252"/>
      <c r="C4" s="252"/>
    </row>
    <row r="5" spans="1:13" ht="15.75" customHeight="1">
      <c r="E5" s="255" t="s">
        <v>81</v>
      </c>
      <c r="F5" s="478" t="s">
        <v>487</v>
      </c>
      <c r="G5" s="478"/>
      <c r="H5" s="479" t="s">
        <v>485</v>
      </c>
      <c r="I5" s="478" t="s">
        <v>488</v>
      </c>
      <c r="J5" s="478"/>
      <c r="K5" s="479" t="s">
        <v>486</v>
      </c>
      <c r="L5" s="478" t="s">
        <v>489</v>
      </c>
      <c r="M5" s="478"/>
    </row>
    <row r="6" spans="1:13" ht="15.7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>
      <c r="A7" s="393" t="s">
        <v>490</v>
      </c>
      <c r="D7" s="250"/>
    </row>
    <row r="8" spans="1:13">
      <c r="C8" t="s">
        <v>475</v>
      </c>
      <c r="D8" s="250"/>
      <c r="E8" s="403">
        <f>Data!AS67</f>
        <v>41</v>
      </c>
      <c r="F8" s="403">
        <f>Data!AT67</f>
        <v>2630137.9899999993</v>
      </c>
      <c r="G8" s="403">
        <f>Data!AU67</f>
        <v>981105.21999999974</v>
      </c>
      <c r="H8" s="403">
        <f>Data!AV67</f>
        <v>3033371.6</v>
      </c>
      <c r="I8" s="403">
        <f>Data!AW67</f>
        <v>512500</v>
      </c>
      <c r="J8" s="403">
        <f>Data!AX67</f>
        <v>645576.31732400006</v>
      </c>
      <c r="K8" s="403">
        <f>Data!AY67</f>
        <v>3033371.6</v>
      </c>
      <c r="L8" s="403">
        <f>Data!AZ67</f>
        <v>563750</v>
      </c>
      <c r="M8" s="403">
        <f>Data!BA67</f>
        <v>623086.43032399984</v>
      </c>
    </row>
    <row r="9" spans="1:13">
      <c r="B9" t="s">
        <v>491</v>
      </c>
      <c r="D9" s="250"/>
      <c r="E9" s="404">
        <f>Data!AS68</f>
        <v>41</v>
      </c>
      <c r="F9" s="404">
        <f>Data!AT68</f>
        <v>2630137.9899999993</v>
      </c>
      <c r="G9" s="404">
        <f>Data!AU68</f>
        <v>981105.21999999974</v>
      </c>
      <c r="H9" s="404">
        <f>Data!AV68</f>
        <v>3033371.6</v>
      </c>
      <c r="I9" s="404">
        <f>Data!AW68</f>
        <v>512500</v>
      </c>
      <c r="J9" s="404">
        <f>Data!AX68</f>
        <v>645576.31732400006</v>
      </c>
      <c r="K9" s="404">
        <f>Data!AY68</f>
        <v>3033371.6</v>
      </c>
      <c r="L9" s="404">
        <f>Data!AZ68</f>
        <v>563750</v>
      </c>
      <c r="M9" s="404">
        <f>Data!BA68</f>
        <v>623086.43032399984</v>
      </c>
    </row>
    <row r="10" spans="1:13">
      <c r="C10" t="s">
        <v>481</v>
      </c>
      <c r="D10" s="250"/>
      <c r="E10" s="403">
        <f>Data!AS69</f>
        <v>0</v>
      </c>
      <c r="F10" s="403">
        <f>Data!AT69</f>
        <v>87949.38</v>
      </c>
      <c r="G10" s="403">
        <f>Data!AU69</f>
        <v>37675.18</v>
      </c>
      <c r="H10" s="403">
        <f>Data!AV69</f>
        <v>0</v>
      </c>
      <c r="I10" s="403">
        <f>Data!AW69</f>
        <v>0</v>
      </c>
      <c r="J10" s="403">
        <f>Data!AX69</f>
        <v>0</v>
      </c>
      <c r="K10" s="403">
        <f>Data!AY69</f>
        <v>0</v>
      </c>
      <c r="L10" s="403">
        <f>Data!AZ69</f>
        <v>0</v>
      </c>
      <c r="M10" s="403">
        <f>Data!BA69</f>
        <v>0</v>
      </c>
    </row>
    <row r="11" spans="1:13">
      <c r="B11" t="s">
        <v>492</v>
      </c>
      <c r="D11" s="250"/>
      <c r="E11" s="404">
        <f>Data!AS70</f>
        <v>0</v>
      </c>
      <c r="F11" s="404">
        <f>Data!AT70</f>
        <v>87949.38</v>
      </c>
      <c r="G11" s="404">
        <f>Data!AU70</f>
        <v>37675.18</v>
      </c>
      <c r="H11" s="404">
        <f>Data!AV70</f>
        <v>0</v>
      </c>
      <c r="I11" s="404">
        <f>Data!AW70</f>
        <v>0</v>
      </c>
      <c r="J11" s="404">
        <f>Data!AX70</f>
        <v>0</v>
      </c>
      <c r="K11" s="404">
        <f>Data!AY70</f>
        <v>0</v>
      </c>
      <c r="L11" s="404">
        <f>Data!AZ70</f>
        <v>0</v>
      </c>
      <c r="M11" s="404">
        <f>Data!BA70</f>
        <v>0</v>
      </c>
    </row>
    <row r="12" spans="1:13">
      <c r="D12" s="250"/>
      <c r="E12" s="403">
        <f>Data!AS71</f>
        <v>0</v>
      </c>
      <c r="F12" s="403">
        <f>Data!AT71</f>
        <v>0</v>
      </c>
      <c r="G12" s="403">
        <f>Data!AU71</f>
        <v>0</v>
      </c>
      <c r="H12" s="403">
        <f>Data!AV71</f>
        <v>0</v>
      </c>
      <c r="I12" s="403">
        <f>Data!AW71</f>
        <v>0</v>
      </c>
      <c r="J12" s="403">
        <f>Data!AX71</f>
        <v>0</v>
      </c>
      <c r="K12" s="403">
        <f>Data!AY71</f>
        <v>0</v>
      </c>
      <c r="L12" s="403">
        <f>Data!AZ71</f>
        <v>0</v>
      </c>
      <c r="M12" s="403">
        <f>Data!BA71</f>
        <v>0</v>
      </c>
    </row>
    <row r="13" spans="1:13">
      <c r="A13" s="397" t="s">
        <v>493</v>
      </c>
      <c r="D13" s="250"/>
      <c r="E13" s="405">
        <f>Data!AS72</f>
        <v>41</v>
      </c>
      <c r="F13" s="405">
        <f>Data!AT72</f>
        <v>2718087.3699999992</v>
      </c>
      <c r="G13" s="405">
        <f>Data!AU72</f>
        <v>1018780.3999999998</v>
      </c>
      <c r="H13" s="405">
        <f>Data!AV72</f>
        <v>3033371.6</v>
      </c>
      <c r="I13" s="405">
        <f>Data!AW72</f>
        <v>512500</v>
      </c>
      <c r="J13" s="405">
        <f>Data!AX72</f>
        <v>645576.31732400006</v>
      </c>
      <c r="K13" s="405">
        <f>Data!AY72</f>
        <v>3033371.6</v>
      </c>
      <c r="L13" s="405">
        <f>Data!AZ72</f>
        <v>563750</v>
      </c>
      <c r="M13" s="405">
        <f>Data!BA72</f>
        <v>623086.43032399984</v>
      </c>
    </row>
    <row r="14" spans="1:13">
      <c r="E14" s="403">
        <f>Data!AS73</f>
        <v>0</v>
      </c>
      <c r="F14" s="403">
        <f>Data!AT73</f>
        <v>0</v>
      </c>
      <c r="G14" s="403">
        <f>Data!AU73</f>
        <v>0</v>
      </c>
      <c r="H14" s="403">
        <f>Data!AV73</f>
        <v>0</v>
      </c>
      <c r="I14" s="403">
        <f>Data!AW73</f>
        <v>0</v>
      </c>
      <c r="J14" s="403">
        <f>Data!AX73</f>
        <v>0</v>
      </c>
      <c r="K14" s="403">
        <f>Data!AY73</f>
        <v>0</v>
      </c>
      <c r="L14" s="403">
        <f>Data!AZ73</f>
        <v>0</v>
      </c>
      <c r="M14" s="403">
        <f>Data!BA73</f>
        <v>0</v>
      </c>
    </row>
    <row r="15" spans="1:13">
      <c r="A15" s="393" t="s">
        <v>494</v>
      </c>
      <c r="E15" s="403">
        <f>Data!AS74</f>
        <v>0</v>
      </c>
      <c r="F15" s="403">
        <f>Data!AT74</f>
        <v>0</v>
      </c>
      <c r="G15" s="403">
        <f>Data!AU74</f>
        <v>0</v>
      </c>
      <c r="H15" s="403">
        <f>Data!AV74</f>
        <v>0</v>
      </c>
      <c r="I15" s="403">
        <f>Data!AW74</f>
        <v>0</v>
      </c>
      <c r="J15" s="403">
        <f>Data!AX74</f>
        <v>0</v>
      </c>
      <c r="K15" s="403">
        <f>Data!AY74</f>
        <v>0</v>
      </c>
      <c r="L15" s="403">
        <f>Data!AZ74</f>
        <v>0</v>
      </c>
      <c r="M15" s="403">
        <f>Data!BA74</f>
        <v>0</v>
      </c>
    </row>
    <row r="16" spans="1:13">
      <c r="C16" t="s">
        <v>475</v>
      </c>
      <c r="E16" s="403">
        <f>Data!AS75</f>
        <v>0</v>
      </c>
      <c r="F16" s="403">
        <f>Data!AT75</f>
        <v>6732</v>
      </c>
      <c r="G16" s="403">
        <f>Data!AU75</f>
        <v>640.66</v>
      </c>
      <c r="H16" s="403">
        <f>Data!AV75</f>
        <v>6732</v>
      </c>
      <c r="I16" s="403">
        <f>Data!AW75</f>
        <v>0</v>
      </c>
      <c r="J16" s="403">
        <f>Data!AX75</f>
        <v>640.66</v>
      </c>
      <c r="K16" s="403">
        <f>Data!AY75</f>
        <v>6732</v>
      </c>
      <c r="L16" s="403">
        <f>Data!AZ75</f>
        <v>0</v>
      </c>
      <c r="M16" s="403">
        <f>Data!BA75</f>
        <v>640.66</v>
      </c>
    </row>
    <row r="17" spans="1:13">
      <c r="B17" t="s">
        <v>491</v>
      </c>
      <c r="E17" s="404">
        <f>Data!AS76</f>
        <v>0</v>
      </c>
      <c r="F17" s="404">
        <f>Data!AT76</f>
        <v>6732</v>
      </c>
      <c r="G17" s="404">
        <f>Data!AU76</f>
        <v>640.66</v>
      </c>
      <c r="H17" s="404">
        <f>Data!AV76</f>
        <v>6732</v>
      </c>
      <c r="I17" s="404">
        <f>Data!AW76</f>
        <v>0</v>
      </c>
      <c r="J17" s="404">
        <f>Data!AX76</f>
        <v>640.66</v>
      </c>
      <c r="K17" s="404">
        <f>Data!AY76</f>
        <v>6732</v>
      </c>
      <c r="L17" s="404">
        <f>Data!AZ76</f>
        <v>0</v>
      </c>
      <c r="M17" s="404">
        <f>Data!BA76</f>
        <v>640.66</v>
      </c>
    </row>
    <row r="18" spans="1:13">
      <c r="E18" s="403">
        <f>Data!AS77</f>
        <v>0</v>
      </c>
      <c r="F18" s="403">
        <f>Data!AT77</f>
        <v>0</v>
      </c>
      <c r="G18" s="403">
        <f>Data!AU77</f>
        <v>0</v>
      </c>
      <c r="H18" s="403">
        <f>Data!AV77</f>
        <v>0</v>
      </c>
      <c r="I18" s="403">
        <f>Data!AW77</f>
        <v>0</v>
      </c>
      <c r="J18" s="403">
        <f>Data!AX77</f>
        <v>0</v>
      </c>
      <c r="K18" s="403">
        <f>Data!AY77</f>
        <v>0</v>
      </c>
      <c r="L18" s="403">
        <f>Data!AZ77</f>
        <v>0</v>
      </c>
      <c r="M18" s="403">
        <f>Data!BA77</f>
        <v>0</v>
      </c>
    </row>
    <row r="19" spans="1:13">
      <c r="A19" s="397" t="s">
        <v>495</v>
      </c>
      <c r="E19" s="405">
        <f>Data!AS78</f>
        <v>0</v>
      </c>
      <c r="F19" s="405">
        <f>Data!AT78</f>
        <v>6732</v>
      </c>
      <c r="G19" s="405">
        <f>Data!AU78</f>
        <v>640.66</v>
      </c>
      <c r="H19" s="405">
        <f>Data!AV78</f>
        <v>6732</v>
      </c>
      <c r="I19" s="405">
        <f>Data!AW78</f>
        <v>0</v>
      </c>
      <c r="J19" s="405">
        <f>Data!AX78</f>
        <v>640.66</v>
      </c>
      <c r="K19" s="405">
        <f>Data!AY78</f>
        <v>6732</v>
      </c>
      <c r="L19" s="405">
        <f>Data!AZ78</f>
        <v>0</v>
      </c>
      <c r="M19" s="405">
        <f>Data!BA78</f>
        <v>640.66</v>
      </c>
    </row>
    <row r="20" spans="1:13">
      <c r="E20" s="403">
        <f>Data!AS79</f>
        <v>0</v>
      </c>
      <c r="F20" s="403">
        <f>Data!AT79</f>
        <v>0</v>
      </c>
      <c r="G20" s="403">
        <f>Data!AU79</f>
        <v>0</v>
      </c>
      <c r="H20" s="403">
        <f>Data!AV79</f>
        <v>0</v>
      </c>
      <c r="I20" s="403">
        <f>Data!AW79</f>
        <v>0</v>
      </c>
      <c r="J20" s="403">
        <f>Data!AX79</f>
        <v>0</v>
      </c>
      <c r="K20" s="403">
        <f>Data!AY79</f>
        <v>0</v>
      </c>
      <c r="L20" s="403">
        <f>Data!AZ79</f>
        <v>0</v>
      </c>
      <c r="M20" s="403">
        <f>Data!BA79</f>
        <v>0</v>
      </c>
    </row>
    <row r="21" spans="1:13">
      <c r="A21" s="398" t="s">
        <v>496</v>
      </c>
      <c r="E21" s="401">
        <f>Data!AS80</f>
        <v>41</v>
      </c>
      <c r="F21" s="402">
        <f>Data!AT80</f>
        <v>2724819.3699999992</v>
      </c>
      <c r="G21" s="402">
        <f>Data!AU80</f>
        <v>1019421.0599999998</v>
      </c>
      <c r="H21" s="402">
        <f>Data!AV80</f>
        <v>3040103.6</v>
      </c>
      <c r="I21" s="402">
        <f>Data!AW80</f>
        <v>512500</v>
      </c>
      <c r="J21" s="402">
        <f>Data!AX80</f>
        <v>646216.97732400009</v>
      </c>
      <c r="K21" s="402">
        <f>Data!AY80</f>
        <v>3040103.6</v>
      </c>
      <c r="L21" s="402">
        <f>Data!AZ80</f>
        <v>563750</v>
      </c>
      <c r="M21" s="402">
        <f>Data!BA80</f>
        <v>623727.09032399987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Public Utilities Commission&amp;R&amp;"Arial"&amp;10 Agency 900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PCAB|0229-20</vt:lpstr>
      <vt:lpstr>PCAB|0348-00</vt:lpstr>
      <vt:lpstr>Data</vt:lpstr>
      <vt:lpstr>Benefits</vt:lpstr>
      <vt:lpstr>B6</vt:lpstr>
      <vt:lpstr>Summary</vt:lpstr>
      <vt:lpstr>FundSummary</vt:lpstr>
      <vt:lpstr>'PCAB|0229-20'!AdjGroupHlth</vt:lpstr>
      <vt:lpstr>'PCAB|0348-00'!AdjGroupHlth</vt:lpstr>
      <vt:lpstr>AdjGroupHlth</vt:lpstr>
      <vt:lpstr>'PCAB|0229-20'!AdjGroupSalary</vt:lpstr>
      <vt:lpstr>'PCAB|0348-00'!AdjGroupSalary</vt:lpstr>
      <vt:lpstr>AdjGroupSalary</vt:lpstr>
      <vt:lpstr>'PCAB|0229-20'!AdjGroupVB</vt:lpstr>
      <vt:lpstr>'PCAB|0348-00'!AdjGroupVB</vt:lpstr>
      <vt:lpstr>AdjGroupVB</vt:lpstr>
      <vt:lpstr>'PCAB|0229-20'!AdjGroupVBBY</vt:lpstr>
      <vt:lpstr>'PCAB|0348-00'!AdjGroupVBBY</vt:lpstr>
      <vt:lpstr>AdjGroupVBBY</vt:lpstr>
      <vt:lpstr>'PCAB|0229-20'!AdjPermHlth</vt:lpstr>
      <vt:lpstr>'PCAB|0348-00'!AdjPermHlth</vt:lpstr>
      <vt:lpstr>AdjPermHlth</vt:lpstr>
      <vt:lpstr>'PCAB|0229-20'!AdjPermHlthBY</vt:lpstr>
      <vt:lpstr>'PCAB|0348-00'!AdjPermHlthBY</vt:lpstr>
      <vt:lpstr>AdjPermHlthBY</vt:lpstr>
      <vt:lpstr>'PCAB|0229-20'!AdjPermSalary</vt:lpstr>
      <vt:lpstr>'PCAB|0348-00'!AdjPermSalary</vt:lpstr>
      <vt:lpstr>AdjPermSalary</vt:lpstr>
      <vt:lpstr>'PCAB|0229-20'!AdjPermVB</vt:lpstr>
      <vt:lpstr>'PCAB|0348-00'!AdjPermVB</vt:lpstr>
      <vt:lpstr>AdjPermVB</vt:lpstr>
      <vt:lpstr>'PCAB|0229-20'!AdjPermVBBY</vt:lpstr>
      <vt:lpstr>'PCAB|0348-00'!AdjPermVBBY</vt:lpstr>
      <vt:lpstr>AdjPermVBBY</vt:lpstr>
      <vt:lpstr>'PCAB|0229-20'!AdjustedTotal</vt:lpstr>
      <vt:lpstr>'PCAB|0348-00'!AdjustedTotal</vt:lpstr>
      <vt:lpstr>AdjustedTotal</vt:lpstr>
      <vt:lpstr>'PCAB|0229-20'!AgencyNum</vt:lpstr>
      <vt:lpstr>'PCAB|0348-00'!AgencyNum</vt:lpstr>
      <vt:lpstr>AgencyNum</vt:lpstr>
      <vt:lpstr>'PCAB|0229-20'!AppropFTP</vt:lpstr>
      <vt:lpstr>'PCAB|0348-00'!AppropFTP</vt:lpstr>
      <vt:lpstr>AppropFTP</vt:lpstr>
      <vt:lpstr>'PCAB|0229-20'!AppropTotal</vt:lpstr>
      <vt:lpstr>'PCAB|0348-00'!AppropTotal</vt:lpstr>
      <vt:lpstr>AppropTotal</vt:lpstr>
      <vt:lpstr>'PCAB|0229-20'!AtZHealth</vt:lpstr>
      <vt:lpstr>'PCAB|0348-00'!AtZHealth</vt:lpstr>
      <vt:lpstr>AtZHealth</vt:lpstr>
      <vt:lpstr>'PCAB|0229-20'!AtZSalary</vt:lpstr>
      <vt:lpstr>'PCAB|0348-00'!AtZSalary</vt:lpstr>
      <vt:lpstr>AtZSalary</vt:lpstr>
      <vt:lpstr>'PCAB|0229-20'!AtZTotal</vt:lpstr>
      <vt:lpstr>'PCAB|0348-00'!AtZTotal</vt:lpstr>
      <vt:lpstr>AtZTotal</vt:lpstr>
      <vt:lpstr>'PCAB|0229-20'!AtZVarBen</vt:lpstr>
      <vt:lpstr>'PCAB|0348-00'!AtZVarBen</vt:lpstr>
      <vt:lpstr>AtZVarBen</vt:lpstr>
      <vt:lpstr>'PCAB|0229-20'!BudgetUnit</vt:lpstr>
      <vt:lpstr>'PCAB|0348-00'!BudgetUnit</vt:lpstr>
      <vt:lpstr>BudgetUnit</vt:lpstr>
      <vt:lpstr>BudgetYear</vt:lpstr>
      <vt:lpstr>CECGroup</vt:lpstr>
      <vt:lpstr>'PCAB|0229-20'!CECOrigElectSalary</vt:lpstr>
      <vt:lpstr>'PCAB|0348-00'!CECOrigElectSalary</vt:lpstr>
      <vt:lpstr>CECOrigElectSalary</vt:lpstr>
      <vt:lpstr>'PCAB|0229-20'!CECOrigElectVB</vt:lpstr>
      <vt:lpstr>'PCAB|0348-00'!CECOrigElectVB</vt:lpstr>
      <vt:lpstr>CECOrigElectVB</vt:lpstr>
      <vt:lpstr>'PCAB|0229-20'!CECOrigGroupSalary</vt:lpstr>
      <vt:lpstr>'PCAB|0348-00'!CECOrigGroupSalary</vt:lpstr>
      <vt:lpstr>CECOrigGroupSalary</vt:lpstr>
      <vt:lpstr>'PCAB|0229-20'!CECOrigGroupVB</vt:lpstr>
      <vt:lpstr>'PCAB|0348-00'!CECOrigGroupVB</vt:lpstr>
      <vt:lpstr>CECOrigGroupVB</vt:lpstr>
      <vt:lpstr>'PCAB|0229-20'!CECOrigPermSalary</vt:lpstr>
      <vt:lpstr>'PCAB|0348-00'!CECOrigPermSalary</vt:lpstr>
      <vt:lpstr>CECOrigPermSalary</vt:lpstr>
      <vt:lpstr>'PCAB|0229-20'!CECOrigPermVB</vt:lpstr>
      <vt:lpstr>'PCAB|0348-00'!CECOrigPermVB</vt:lpstr>
      <vt:lpstr>CECOrigPermVB</vt:lpstr>
      <vt:lpstr>CECPerm</vt:lpstr>
      <vt:lpstr>'PCAB|0229-20'!CECpermCalc</vt:lpstr>
      <vt:lpstr>'PCAB|0348-00'!CECpermCalc</vt:lpstr>
      <vt:lpstr>CECpermCalc</vt:lpstr>
      <vt:lpstr>'PCAB|0229-20'!Department</vt:lpstr>
      <vt:lpstr>'PCAB|0348-00'!Department</vt:lpstr>
      <vt:lpstr>Department</vt:lpstr>
      <vt:lpstr>DHR</vt:lpstr>
      <vt:lpstr>DHRBY</vt:lpstr>
      <vt:lpstr>DHRCHG</vt:lpstr>
      <vt:lpstr>'PCAB|0229-20'!Division</vt:lpstr>
      <vt:lpstr>'PCAB|0348-00'!Division</vt:lpstr>
      <vt:lpstr>Division</vt:lpstr>
      <vt:lpstr>'PCAB|0229-20'!DUCECElect</vt:lpstr>
      <vt:lpstr>'PCAB|0348-00'!DUCECElect</vt:lpstr>
      <vt:lpstr>DUCECElect</vt:lpstr>
      <vt:lpstr>'PCAB|0229-20'!DUCECGroup</vt:lpstr>
      <vt:lpstr>'PCAB|0348-00'!DUCECGroup</vt:lpstr>
      <vt:lpstr>DUCECGroup</vt:lpstr>
      <vt:lpstr>'PCAB|0229-20'!DUCECPerm</vt:lpstr>
      <vt:lpstr>'PCAB|0348-00'!DUCECPerm</vt:lpstr>
      <vt:lpstr>DUCECPerm</vt:lpstr>
      <vt:lpstr>'PCAB|0229-20'!DUEleven</vt:lpstr>
      <vt:lpstr>'PCAB|0348-00'!DUEleven</vt:lpstr>
      <vt:lpstr>DUEleven</vt:lpstr>
      <vt:lpstr>'PCAB|0229-20'!DUHealthBen</vt:lpstr>
      <vt:lpstr>'PCAB|0348-00'!DUHealthBen</vt:lpstr>
      <vt:lpstr>DUHealthBen</vt:lpstr>
      <vt:lpstr>'PCAB|0229-20'!DUNine</vt:lpstr>
      <vt:lpstr>'PCAB|0348-00'!DUNine</vt:lpstr>
      <vt:lpstr>DUNine</vt:lpstr>
      <vt:lpstr>'PCAB|0229-20'!DUThirteen</vt:lpstr>
      <vt:lpstr>'PCAB|0348-00'!DUThirteen</vt:lpstr>
      <vt:lpstr>DUThirteen</vt:lpstr>
      <vt:lpstr>'PCAB|0229-20'!DUVariableBen</vt:lpstr>
      <vt:lpstr>'PCAB|0348-00'!DUVariableBen</vt:lpstr>
      <vt:lpstr>DUVariableBen</vt:lpstr>
      <vt:lpstr>'PCAB|0229-20'!Elect_chg_health</vt:lpstr>
      <vt:lpstr>'PCAB|0348-00'!Elect_chg_health</vt:lpstr>
      <vt:lpstr>Elect_chg_health</vt:lpstr>
      <vt:lpstr>'PCAB|0229-20'!Elect_chg_Var</vt:lpstr>
      <vt:lpstr>'PCAB|0348-00'!Elect_chg_Var</vt:lpstr>
      <vt:lpstr>Elect_chg_Var</vt:lpstr>
      <vt:lpstr>'PCAB|0229-20'!elect_FTP</vt:lpstr>
      <vt:lpstr>'PCAB|0348-00'!elect_FTP</vt:lpstr>
      <vt:lpstr>elect_FTP</vt:lpstr>
      <vt:lpstr>'PCAB|0229-20'!Elect_health</vt:lpstr>
      <vt:lpstr>'PCAB|0348-00'!Elect_health</vt:lpstr>
      <vt:lpstr>Elect_health</vt:lpstr>
      <vt:lpstr>'PCAB|0229-20'!Elect_name</vt:lpstr>
      <vt:lpstr>'PCAB|0348-00'!Elect_name</vt:lpstr>
      <vt:lpstr>Elect_name</vt:lpstr>
      <vt:lpstr>'PCAB|0229-20'!Elect_salary</vt:lpstr>
      <vt:lpstr>'PCAB|0348-00'!Elect_salary</vt:lpstr>
      <vt:lpstr>Elect_salary</vt:lpstr>
      <vt:lpstr>'PCAB|0229-20'!Elect_Var</vt:lpstr>
      <vt:lpstr>'PCAB|0348-00'!Elect_Var</vt:lpstr>
      <vt:lpstr>Elect_Var</vt:lpstr>
      <vt:lpstr>'PCAB|0229-20'!Elect_VarBen</vt:lpstr>
      <vt:lpstr>'PCAB|0348-00'!Elect_VarBen</vt:lpstr>
      <vt:lpstr>Elect_VarBen</vt:lpstr>
      <vt:lpstr>ElectVB</vt:lpstr>
      <vt:lpstr>ElectVBBY</vt:lpstr>
      <vt:lpstr>ElectVBCHG</vt:lpstr>
      <vt:lpstr>FillRate_Avg</vt:lpstr>
      <vt:lpstr>'PCAB|0229-20'!FiscalYear</vt:lpstr>
      <vt:lpstr>'PCAB|0348-00'!FiscalYear</vt:lpstr>
      <vt:lpstr>FiscalYear</vt:lpstr>
      <vt:lpstr>'PCAB|0229-20'!FundName</vt:lpstr>
      <vt:lpstr>'PCAB|0348-00'!FundName</vt:lpstr>
      <vt:lpstr>FundName</vt:lpstr>
      <vt:lpstr>'PCAB|0229-20'!FundNum</vt:lpstr>
      <vt:lpstr>'PCAB|0348-00'!FundNum</vt:lpstr>
      <vt:lpstr>FundNum</vt:lpstr>
      <vt:lpstr>'PCAB|0229-20'!FundNumber</vt:lpstr>
      <vt:lpstr>'PCAB|0348-00'!FundNumber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'PCAB|0229-20'!Group_name</vt:lpstr>
      <vt:lpstr>'PCAB|0348-00'!Group_name</vt:lpstr>
      <vt:lpstr>Group_name</vt:lpstr>
      <vt:lpstr>'PCAB|0229-20'!GroupFxdBen</vt:lpstr>
      <vt:lpstr>'PCAB|0348-00'!GroupFxdBen</vt:lpstr>
      <vt:lpstr>GroupFxdBen</vt:lpstr>
      <vt:lpstr>'PCAB|0229-20'!GroupSalary</vt:lpstr>
      <vt:lpstr>'PCAB|0348-00'!GroupSalary</vt:lpstr>
      <vt:lpstr>GroupSalary</vt:lpstr>
      <vt:lpstr>'PCAB|0229-20'!GroupVarBen</vt:lpstr>
      <vt:lpstr>'PCAB|0348-00'!GroupVarBen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'PCAB|0229-20'!LUMAFund</vt:lpstr>
      <vt:lpstr>'PCAB|0348-00'!LUMAFund</vt:lpstr>
      <vt:lpstr>LUMAFund</vt:lpstr>
      <vt:lpstr>MAXSSDI</vt:lpstr>
      <vt:lpstr>MAXSSDIBY</vt:lpstr>
      <vt:lpstr>'PCAB|0229-20'!NEW_AdjGroup</vt:lpstr>
      <vt:lpstr>'PCAB|0348-00'!NEW_AdjGroup</vt:lpstr>
      <vt:lpstr>NEW_AdjGroup</vt:lpstr>
      <vt:lpstr>'PCAB|0229-20'!NEW_AdjGroupSalary</vt:lpstr>
      <vt:lpstr>'PCAB|0348-00'!NEW_AdjGroupSalary</vt:lpstr>
      <vt:lpstr>NEW_AdjGroupSalary</vt:lpstr>
      <vt:lpstr>'PCAB|0229-20'!NEW_AdjGroupVB</vt:lpstr>
      <vt:lpstr>'PCAB|0348-00'!NEW_AdjGroupVB</vt:lpstr>
      <vt:lpstr>NEW_AdjGroupVB</vt:lpstr>
      <vt:lpstr>'PCAB|0229-20'!NEW_AdjONLYGroup</vt:lpstr>
      <vt:lpstr>'PCAB|0348-00'!NEW_AdjONLYGroup</vt:lpstr>
      <vt:lpstr>NEW_AdjONLYGroup</vt:lpstr>
      <vt:lpstr>'PCAB|0229-20'!NEW_AdjONLYGroupSalary</vt:lpstr>
      <vt:lpstr>'PCAB|0348-00'!NEW_AdjONLYGroupSalary</vt:lpstr>
      <vt:lpstr>NEW_AdjONLYGroupSalary</vt:lpstr>
      <vt:lpstr>'PCAB|0229-20'!NEW_AdjONLYGroupVB</vt:lpstr>
      <vt:lpstr>'PCAB|0348-00'!NEW_AdjONLYGroupVB</vt:lpstr>
      <vt:lpstr>NEW_AdjONLYGroupVB</vt:lpstr>
      <vt:lpstr>'PCAB|0229-20'!NEW_AdjONLYPerm</vt:lpstr>
      <vt:lpstr>'PCAB|0348-00'!NEW_AdjONLYPerm</vt:lpstr>
      <vt:lpstr>NEW_AdjONLYPerm</vt:lpstr>
      <vt:lpstr>'PCAB|0229-20'!NEW_AdjONLYPermSalary</vt:lpstr>
      <vt:lpstr>'PCAB|0348-00'!NEW_AdjONLYPermSalary</vt:lpstr>
      <vt:lpstr>NEW_AdjONLYPermSalary</vt:lpstr>
      <vt:lpstr>'PCAB|0229-20'!NEW_AdjONLYPermVB</vt:lpstr>
      <vt:lpstr>'PCAB|0348-00'!NEW_AdjONLYPermVB</vt:lpstr>
      <vt:lpstr>NEW_AdjONLYPermVB</vt:lpstr>
      <vt:lpstr>'PCAB|0229-20'!NEW_AdjPerm</vt:lpstr>
      <vt:lpstr>'PCAB|0348-00'!NEW_AdjPerm</vt:lpstr>
      <vt:lpstr>NEW_AdjPerm</vt:lpstr>
      <vt:lpstr>'PCAB|0229-20'!NEW_AdjPermSalary</vt:lpstr>
      <vt:lpstr>'PCAB|0348-00'!NEW_AdjPermSalary</vt:lpstr>
      <vt:lpstr>NEW_AdjPermSalary</vt:lpstr>
      <vt:lpstr>'PCAB|0229-20'!NEW_AdjPermVB</vt:lpstr>
      <vt:lpstr>'PCAB|0348-00'!NEW_AdjPermVB</vt:lpstr>
      <vt:lpstr>NEW_AdjPermVB</vt:lpstr>
      <vt:lpstr>'PCAB|0229-20'!NEW_GroupFilled</vt:lpstr>
      <vt:lpstr>'PCAB|0348-00'!NEW_GroupFilled</vt:lpstr>
      <vt:lpstr>NEW_GroupFilled</vt:lpstr>
      <vt:lpstr>'PCAB|0229-20'!NEW_GroupSalaryFilled</vt:lpstr>
      <vt:lpstr>'PCAB|0348-00'!NEW_GroupSalaryFilled</vt:lpstr>
      <vt:lpstr>NEW_GroupSalaryFilled</vt:lpstr>
      <vt:lpstr>'PCAB|0229-20'!NEW_GroupVBFilled</vt:lpstr>
      <vt:lpstr>'PCAB|0348-00'!NEW_GroupVBFilled</vt:lpstr>
      <vt:lpstr>NEW_GroupVBFilled</vt:lpstr>
      <vt:lpstr>'PCAB|0229-20'!NEW_PermFilled</vt:lpstr>
      <vt:lpstr>'PCAB|0348-00'!NEW_PermFilled</vt:lpstr>
      <vt:lpstr>NEW_PermFilled</vt:lpstr>
      <vt:lpstr>'PCAB|0229-20'!NEW_PermSalaryFilled</vt:lpstr>
      <vt:lpstr>'PCAB|0348-00'!NEW_PermSalaryFilled</vt:lpstr>
      <vt:lpstr>NEW_PermSalaryFilled</vt:lpstr>
      <vt:lpstr>'PCAB|0229-20'!NEW_PermVBFilled</vt:lpstr>
      <vt:lpstr>'PCAB|0348-00'!NEW_PermVBFilled</vt:lpstr>
      <vt:lpstr>NEW_PermVBFilled</vt:lpstr>
      <vt:lpstr>'PCAB|0229-20'!OneTimePC_Total</vt:lpstr>
      <vt:lpstr>'PCAB|0348-00'!OneTimePC_Total</vt:lpstr>
      <vt:lpstr>OneTimePC_Total</vt:lpstr>
      <vt:lpstr>'PCAB|0229-20'!OrigApprop</vt:lpstr>
      <vt:lpstr>'PCAB|0348-00'!OrigApprop</vt:lpstr>
      <vt:lpstr>OrigApprop</vt:lpstr>
      <vt:lpstr>PCAB022920col_1_27TH_PP</vt:lpstr>
      <vt:lpstr>PCAB022920col_DHR</vt:lpstr>
      <vt:lpstr>PCAB022920col_DHR_BY</vt:lpstr>
      <vt:lpstr>PCAB022920col_DHR_CHG</vt:lpstr>
      <vt:lpstr>PCAB022920col_FTI_SALARY_ELECT</vt:lpstr>
      <vt:lpstr>PCAB022920col_FTI_SALARY_PERM</vt:lpstr>
      <vt:lpstr>PCAB022920col_FTI_SALARY_SSDI</vt:lpstr>
      <vt:lpstr>PCAB022920col_Group_Ben</vt:lpstr>
      <vt:lpstr>PCAB022920col_Group_Salary</vt:lpstr>
      <vt:lpstr>PCAB022920col_HEALTH_ELECT</vt:lpstr>
      <vt:lpstr>PCAB022920col_HEALTH_ELECT_BY</vt:lpstr>
      <vt:lpstr>PCAB022920col_HEALTH_ELECT_CHG</vt:lpstr>
      <vt:lpstr>PCAB022920col_HEALTH_PERM</vt:lpstr>
      <vt:lpstr>PCAB022920col_HEALTH_PERM_BY</vt:lpstr>
      <vt:lpstr>PCAB022920col_HEALTH_PERM_CHG</vt:lpstr>
      <vt:lpstr>PCAB022920col_INC_FTI</vt:lpstr>
      <vt:lpstr>PCAB022920col_LIFE_INS</vt:lpstr>
      <vt:lpstr>PCAB022920col_LIFE_INS_BY</vt:lpstr>
      <vt:lpstr>PCAB022920col_LIFE_INS_CHG</vt:lpstr>
      <vt:lpstr>PCAB022920col_RETIREMENT</vt:lpstr>
      <vt:lpstr>PCAB022920col_RETIREMENT_BY</vt:lpstr>
      <vt:lpstr>PCAB022920col_RETIREMENT_CHG</vt:lpstr>
      <vt:lpstr>PCAB022920col_ROWS_PER_PCN</vt:lpstr>
      <vt:lpstr>PCAB022920col_SICK</vt:lpstr>
      <vt:lpstr>PCAB022920col_SICK_BY</vt:lpstr>
      <vt:lpstr>PCAB022920col_SICK_CHG</vt:lpstr>
      <vt:lpstr>PCAB022920col_SSDI</vt:lpstr>
      <vt:lpstr>PCAB022920col_SSDI_BY</vt:lpstr>
      <vt:lpstr>PCAB022920col_SSDI_CHG</vt:lpstr>
      <vt:lpstr>PCAB022920col_SSHI</vt:lpstr>
      <vt:lpstr>PCAB022920col_SSHI_BY</vt:lpstr>
      <vt:lpstr>PCAB022920col_SSHI_CHGv</vt:lpstr>
      <vt:lpstr>PCAB022920col_TOT_VB_ELECT</vt:lpstr>
      <vt:lpstr>PCAB022920col_TOT_VB_ELECT_BY</vt:lpstr>
      <vt:lpstr>PCAB022920col_TOT_VB_ELECT_CHG</vt:lpstr>
      <vt:lpstr>PCAB022920col_TOT_VB_PERM</vt:lpstr>
      <vt:lpstr>PCAB022920col_TOT_VB_PERM_BY</vt:lpstr>
      <vt:lpstr>PCAB022920col_TOT_VB_PERM_CHG</vt:lpstr>
      <vt:lpstr>PCAB022920col_TOTAL_ELECT_PCN_FTI</vt:lpstr>
      <vt:lpstr>PCAB022920col_TOTAL_ELECT_PCN_FTI_ALT</vt:lpstr>
      <vt:lpstr>PCAB022920col_TOTAL_PERM_PCN_FTI</vt:lpstr>
      <vt:lpstr>PCAB022920col_UNEMP_INS</vt:lpstr>
      <vt:lpstr>PCAB022920col_UNEMP_INS_BY</vt:lpstr>
      <vt:lpstr>PCAB022920col_UNEMP_INS_CHG</vt:lpstr>
      <vt:lpstr>PCAB022920col_WORKERS_COMP</vt:lpstr>
      <vt:lpstr>PCAB022920col_WORKERS_COMP_BY</vt:lpstr>
      <vt:lpstr>PCAB022920col_WORKERS_COMP_CHG</vt:lpstr>
      <vt:lpstr>PCAB034800col_1_27TH_PP</vt:lpstr>
      <vt:lpstr>PCAB034800col_DHR</vt:lpstr>
      <vt:lpstr>PCAB034800col_DHR_BY</vt:lpstr>
      <vt:lpstr>PCAB034800col_DHR_CHG</vt:lpstr>
      <vt:lpstr>PCAB034800col_FTI_SALARY_ELECT</vt:lpstr>
      <vt:lpstr>PCAB034800col_FTI_SALARY_PERM</vt:lpstr>
      <vt:lpstr>PCAB034800col_FTI_SALARY_SSDI</vt:lpstr>
      <vt:lpstr>PCAB034800col_Group_Ben</vt:lpstr>
      <vt:lpstr>PCAB034800col_Group_Salary</vt:lpstr>
      <vt:lpstr>PCAB034800col_HEALTH_ELECT</vt:lpstr>
      <vt:lpstr>PCAB034800col_HEALTH_ELECT_BY</vt:lpstr>
      <vt:lpstr>PCAB034800col_HEALTH_ELECT_CHG</vt:lpstr>
      <vt:lpstr>PCAB034800col_HEALTH_PERM</vt:lpstr>
      <vt:lpstr>PCAB034800col_HEALTH_PERM_BY</vt:lpstr>
      <vt:lpstr>PCAB034800col_HEALTH_PERM_CHG</vt:lpstr>
      <vt:lpstr>PCAB034800col_INC_FTI</vt:lpstr>
      <vt:lpstr>PCAB034800col_LIFE_INS</vt:lpstr>
      <vt:lpstr>PCAB034800col_LIFE_INS_BY</vt:lpstr>
      <vt:lpstr>PCAB034800col_LIFE_INS_CHG</vt:lpstr>
      <vt:lpstr>PCAB034800col_RETIREMENT</vt:lpstr>
      <vt:lpstr>PCAB034800col_RETIREMENT_BY</vt:lpstr>
      <vt:lpstr>PCAB034800col_RETIREMENT_CHG</vt:lpstr>
      <vt:lpstr>PCAB034800col_ROWS_PER_PCN</vt:lpstr>
      <vt:lpstr>PCAB034800col_SICK</vt:lpstr>
      <vt:lpstr>PCAB034800col_SICK_BY</vt:lpstr>
      <vt:lpstr>PCAB034800col_SICK_CHG</vt:lpstr>
      <vt:lpstr>PCAB034800col_SSDI</vt:lpstr>
      <vt:lpstr>PCAB034800col_SSDI_BY</vt:lpstr>
      <vt:lpstr>PCAB034800col_SSDI_CHG</vt:lpstr>
      <vt:lpstr>PCAB034800col_SSHI</vt:lpstr>
      <vt:lpstr>PCAB034800col_SSHI_BY</vt:lpstr>
      <vt:lpstr>PCAB034800col_SSHI_CHGv</vt:lpstr>
      <vt:lpstr>PCAB034800col_TOT_VB_ELECT</vt:lpstr>
      <vt:lpstr>PCAB034800col_TOT_VB_ELECT_BY</vt:lpstr>
      <vt:lpstr>PCAB034800col_TOT_VB_ELECT_CHG</vt:lpstr>
      <vt:lpstr>PCAB034800col_TOT_VB_PERM</vt:lpstr>
      <vt:lpstr>PCAB034800col_TOT_VB_PERM_BY</vt:lpstr>
      <vt:lpstr>PCAB034800col_TOT_VB_PERM_CHG</vt:lpstr>
      <vt:lpstr>PCAB034800col_TOTAL_ELECT_PCN_FTI</vt:lpstr>
      <vt:lpstr>PCAB034800col_TOTAL_ELECT_PCN_FTI_ALT</vt:lpstr>
      <vt:lpstr>PCAB034800col_TOTAL_PERM_PCN_FTI</vt:lpstr>
      <vt:lpstr>PCAB034800col_UNEMP_INS</vt:lpstr>
      <vt:lpstr>PCAB034800col_UNEMP_INS_BY</vt:lpstr>
      <vt:lpstr>PCAB034800col_UNEMP_INS_CHG</vt:lpstr>
      <vt:lpstr>PCAB034800col_WORKERS_COMP</vt:lpstr>
      <vt:lpstr>PCAB034800col_WORKERS_COMP_BY</vt:lpstr>
      <vt:lpstr>PCAB034800col_WORKERS_COMP_CHG</vt:lpstr>
      <vt:lpstr>'PCAB|0229-20'!perm_name</vt:lpstr>
      <vt:lpstr>'PCAB|0348-00'!perm_name</vt:lpstr>
      <vt:lpstr>perm_name</vt:lpstr>
      <vt:lpstr>'PCAB|0229-20'!PermFTP</vt:lpstr>
      <vt:lpstr>'PCAB|0348-00'!PermFTP</vt:lpstr>
      <vt:lpstr>PermFTP</vt:lpstr>
      <vt:lpstr>'PCAB|0229-20'!PermFxdBen</vt:lpstr>
      <vt:lpstr>'PCAB|0348-00'!PermFxdBen</vt:lpstr>
      <vt:lpstr>PermFxdBen</vt:lpstr>
      <vt:lpstr>'PCAB|0229-20'!PermFxdBenChg</vt:lpstr>
      <vt:lpstr>'PCAB|0348-00'!PermFxdBenChg</vt:lpstr>
      <vt:lpstr>PermFxdBenChg</vt:lpstr>
      <vt:lpstr>'PCAB|0229-20'!PermFxdChg</vt:lpstr>
      <vt:lpstr>'PCAB|0348-00'!PermFxdChg</vt:lpstr>
      <vt:lpstr>PermFxdChg</vt:lpstr>
      <vt:lpstr>'PCAB|0229-20'!PermSalary</vt:lpstr>
      <vt:lpstr>'PCAB|0348-00'!PermSalary</vt:lpstr>
      <vt:lpstr>PermSalary</vt:lpstr>
      <vt:lpstr>'PCAB|0229-20'!PermVarBen</vt:lpstr>
      <vt:lpstr>'PCAB|0348-00'!PermVarBen</vt:lpstr>
      <vt:lpstr>PermVarBen</vt:lpstr>
      <vt:lpstr>'PCAB|0229-20'!PermVarBenChg</vt:lpstr>
      <vt:lpstr>'PCAB|0348-00'!PermVarBenChg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'PCAB|0229-20'!Print_Area</vt:lpstr>
      <vt:lpstr>'PCAB|0348-00'!Print_Area</vt:lpstr>
      <vt:lpstr>'PCAB|0229-20'!Prog_Unadjusted_Total</vt:lpstr>
      <vt:lpstr>'PCAB|0348-00'!Prog_Unadjusted_Total</vt:lpstr>
      <vt:lpstr>Prog_Unadjusted_Total</vt:lpstr>
      <vt:lpstr>'PCAB|0229-20'!Program</vt:lpstr>
      <vt:lpstr>'PCAB|0348-00'!Program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'PCAB|0229-20'!RoundedAppropSalary</vt:lpstr>
      <vt:lpstr>'PCAB|0348-00'!RoundedAppropSalary</vt:lpstr>
      <vt:lpstr>RoundedAppropSalary</vt:lpstr>
      <vt:lpstr>'PCAB|0229-20'!SalaryChg</vt:lpstr>
      <vt:lpstr>'PCAB|0348-00'!SalaryChg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905 B6</dc:title>
  <dc:subject>B6</dc:subject>
  <dc:creator>Shane Winslow</dc:creator>
  <cp:lastModifiedBy>Alex Williamson</cp:lastModifiedBy>
  <cp:lastPrinted>2019-06-21T15:46:35Z</cp:lastPrinted>
  <dcterms:created xsi:type="dcterms:W3CDTF">2013-05-01T19:55:41Z</dcterms:created>
  <dcterms:modified xsi:type="dcterms:W3CDTF">2022-07-26T18:16:12Z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